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\\Nas-h-agn-nas3\l_single_sky\3-REGULATORY SUPPORT\ENV Unit\ETS Mgmt\EMIS\States (with Agreement)\_Finances\"/>
    </mc:Choice>
  </mc:AlternateContent>
  <xr:revisionPtr revIDLastSave="0" documentId="13_ncr:1_{B7661FB6-75AC-4AC8-8555-36ADBCC718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ckpit" sheetId="6" r:id="rId1"/>
    <sheet name="Costs" sheetId="5" r:id="rId2"/>
    <sheet name="Data" sheetId="2" r:id="rId3"/>
    <sheet name="State Names" sheetId="7" r:id="rId4"/>
    <sheet name="GDP" sheetId="1" r:id="rId5"/>
    <sheet name="CO2" sheetId="3" r:id="rId6"/>
  </sheets>
  <calcPr calcId="191029"/>
  <pivotCaches>
    <pivotCache cacheId="7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 a="1"/>
  <c r="A4" i="7" s="1"/>
  <c r="A7" i="7" a="1"/>
  <c r="A7" i="7" s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K4" i="5"/>
  <c r="M4" i="5" s="1"/>
  <c r="L4" i="5"/>
  <c r="A3" i="7" l="1" a="1"/>
  <c r="A3" i="7" s="1"/>
  <c r="K3" i="5" l="1"/>
  <c r="A6" i="7" a="1"/>
  <c r="A6" i="7" s="1"/>
  <c r="A5" i="7" a="1"/>
  <c r="A5" i="7" s="1"/>
  <c r="A2" i="7" a="1"/>
  <c r="A2" i="7" s="1"/>
  <c r="F61" i="1" l="1"/>
  <c r="A61" i="1" s="1"/>
  <c r="P61" i="1" s="1"/>
  <c r="F65" i="1"/>
  <c r="A65" i="1" s="1"/>
  <c r="P65" i="1" s="1"/>
  <c r="F69" i="1"/>
  <c r="A69" i="1" s="1"/>
  <c r="P69" i="1" s="1"/>
  <c r="F73" i="1"/>
  <c r="A73" i="1" s="1"/>
  <c r="P73" i="1" s="1"/>
  <c r="F77" i="1"/>
  <c r="A77" i="1" s="1"/>
  <c r="P77" i="1" s="1"/>
  <c r="F81" i="1"/>
  <c r="A81" i="1" s="1"/>
  <c r="P81" i="1" s="1"/>
  <c r="F85" i="1"/>
  <c r="A85" i="1" s="1"/>
  <c r="P85" i="1" s="1"/>
  <c r="C61" i="3"/>
  <c r="A61" i="3" s="1"/>
  <c r="J61" i="3" s="1"/>
  <c r="C65" i="3"/>
  <c r="A65" i="3" s="1"/>
  <c r="J65" i="3" s="1"/>
  <c r="C69" i="3"/>
  <c r="A69" i="3" s="1"/>
  <c r="J69" i="3" s="1"/>
  <c r="C73" i="3"/>
  <c r="A73" i="3" s="1"/>
  <c r="J73" i="3" s="1"/>
  <c r="C77" i="3"/>
  <c r="A77" i="3" s="1"/>
  <c r="J77" i="3" s="1"/>
  <c r="C81" i="3"/>
  <c r="A81" i="3" s="1"/>
  <c r="J81" i="3" s="1"/>
  <c r="C85" i="3"/>
  <c r="A85" i="3" s="1"/>
  <c r="J85" i="3" s="1"/>
  <c r="F60" i="1"/>
  <c r="A60" i="1" s="1"/>
  <c r="P60" i="1" s="1"/>
  <c r="F80" i="1"/>
  <c r="A80" i="1" s="1"/>
  <c r="P80" i="1" s="1"/>
  <c r="C64" i="3"/>
  <c r="A64" i="3" s="1"/>
  <c r="J64" i="3" s="1"/>
  <c r="C80" i="3"/>
  <c r="A80" i="3" s="1"/>
  <c r="J80" i="3" s="1"/>
  <c r="F58" i="1"/>
  <c r="A58" i="1" s="1"/>
  <c r="P58" i="1" s="1"/>
  <c r="F62" i="1"/>
  <c r="A62" i="1" s="1"/>
  <c r="P62" i="1" s="1"/>
  <c r="F66" i="1"/>
  <c r="A66" i="1" s="1"/>
  <c r="P66" i="1" s="1"/>
  <c r="F70" i="1"/>
  <c r="A70" i="1" s="1"/>
  <c r="P70" i="1" s="1"/>
  <c r="F74" i="1"/>
  <c r="A74" i="1" s="1"/>
  <c r="P74" i="1" s="1"/>
  <c r="F78" i="1"/>
  <c r="A78" i="1" s="1"/>
  <c r="P78" i="1" s="1"/>
  <c r="F82" i="1"/>
  <c r="A82" i="1" s="1"/>
  <c r="P82" i="1" s="1"/>
  <c r="C58" i="3"/>
  <c r="A58" i="3" s="1"/>
  <c r="J58" i="3" s="1"/>
  <c r="C62" i="3"/>
  <c r="A62" i="3" s="1"/>
  <c r="J62" i="3" s="1"/>
  <c r="C66" i="3"/>
  <c r="A66" i="3" s="1"/>
  <c r="J66" i="3" s="1"/>
  <c r="C70" i="3"/>
  <c r="A70" i="3" s="1"/>
  <c r="J70" i="3" s="1"/>
  <c r="C74" i="3"/>
  <c r="A74" i="3" s="1"/>
  <c r="J74" i="3" s="1"/>
  <c r="C78" i="3"/>
  <c r="A78" i="3" s="1"/>
  <c r="J78" i="3" s="1"/>
  <c r="C82" i="3"/>
  <c r="A82" i="3" s="1"/>
  <c r="J82" i="3" s="1"/>
  <c r="F68" i="1"/>
  <c r="A68" i="1" s="1"/>
  <c r="P68" i="1" s="1"/>
  <c r="F72" i="1"/>
  <c r="A72" i="1" s="1"/>
  <c r="P72" i="1" s="1"/>
  <c r="F84" i="1"/>
  <c r="A84" i="1" s="1"/>
  <c r="P84" i="1" s="1"/>
  <c r="C68" i="3"/>
  <c r="A68" i="3" s="1"/>
  <c r="J68" i="3" s="1"/>
  <c r="C84" i="3"/>
  <c r="A84" i="3" s="1"/>
  <c r="J84" i="3" s="1"/>
  <c r="F59" i="1"/>
  <c r="A59" i="1" s="1"/>
  <c r="P59" i="1" s="1"/>
  <c r="F63" i="1"/>
  <c r="A63" i="1" s="1"/>
  <c r="P63" i="1" s="1"/>
  <c r="F67" i="1"/>
  <c r="A67" i="1" s="1"/>
  <c r="P67" i="1" s="1"/>
  <c r="F71" i="1"/>
  <c r="A71" i="1" s="1"/>
  <c r="P71" i="1" s="1"/>
  <c r="F75" i="1"/>
  <c r="A75" i="1" s="1"/>
  <c r="P75" i="1" s="1"/>
  <c r="F79" i="1"/>
  <c r="A79" i="1" s="1"/>
  <c r="P79" i="1" s="1"/>
  <c r="F83" i="1"/>
  <c r="A83" i="1" s="1"/>
  <c r="P83" i="1" s="1"/>
  <c r="C59" i="3"/>
  <c r="A59" i="3" s="1"/>
  <c r="J59" i="3" s="1"/>
  <c r="C63" i="3"/>
  <c r="A63" i="3" s="1"/>
  <c r="J63" i="3" s="1"/>
  <c r="C67" i="3"/>
  <c r="A67" i="3" s="1"/>
  <c r="J67" i="3" s="1"/>
  <c r="C71" i="3"/>
  <c r="A71" i="3" s="1"/>
  <c r="J71" i="3" s="1"/>
  <c r="C75" i="3"/>
  <c r="A75" i="3" s="1"/>
  <c r="J75" i="3" s="1"/>
  <c r="C79" i="3"/>
  <c r="A79" i="3" s="1"/>
  <c r="J79" i="3" s="1"/>
  <c r="C83" i="3"/>
  <c r="A83" i="3" s="1"/>
  <c r="J83" i="3" s="1"/>
  <c r="F64" i="1"/>
  <c r="A64" i="1" s="1"/>
  <c r="P64" i="1" s="1"/>
  <c r="F76" i="1"/>
  <c r="A76" i="1" s="1"/>
  <c r="P76" i="1" s="1"/>
  <c r="C60" i="3"/>
  <c r="A60" i="3" s="1"/>
  <c r="J60" i="3" s="1"/>
  <c r="C72" i="3"/>
  <c r="A72" i="3" s="1"/>
  <c r="J72" i="3" s="1"/>
  <c r="C76" i="3"/>
  <c r="A76" i="3" s="1"/>
  <c r="J76" i="3" s="1"/>
  <c r="F53" i="1"/>
  <c r="A53" i="1" s="1"/>
  <c r="F20" i="1"/>
  <c r="F44" i="1"/>
  <c r="A44" i="1" s="1"/>
  <c r="F21" i="1"/>
  <c r="F57" i="1"/>
  <c r="A57" i="1" s="1"/>
  <c r="F55" i="1"/>
  <c r="F46" i="1"/>
  <c r="A46" i="1" s="1"/>
  <c r="F2" i="1"/>
  <c r="F8" i="1"/>
  <c r="F12" i="1"/>
  <c r="F14" i="1"/>
  <c r="F17" i="1"/>
  <c r="F23" i="1"/>
  <c r="F24" i="1"/>
  <c r="F26" i="1"/>
  <c r="F39" i="1"/>
  <c r="A39" i="1" s="1"/>
  <c r="F41" i="1"/>
  <c r="A41" i="1" s="1"/>
  <c r="F47" i="1"/>
  <c r="F56" i="1"/>
  <c r="A56" i="1" s="1"/>
  <c r="F50" i="1"/>
  <c r="A50" i="1" s="1"/>
  <c r="F3" i="1"/>
  <c r="F10" i="1"/>
  <c r="F16" i="1"/>
  <c r="F18" i="1"/>
  <c r="F25" i="1"/>
  <c r="F27" i="1"/>
  <c r="F29" i="1"/>
  <c r="F33" i="1"/>
  <c r="A33" i="1" s="1"/>
  <c r="F37" i="1"/>
  <c r="A37" i="1" s="1"/>
  <c r="F11" i="1"/>
  <c r="F19" i="1"/>
  <c r="F13" i="1"/>
  <c r="F28" i="1"/>
  <c r="F32" i="1"/>
  <c r="A32" i="1" s="1"/>
  <c r="F34" i="1"/>
  <c r="A34" i="1" s="1"/>
  <c r="F5" i="1"/>
  <c r="F9" i="1"/>
  <c r="F22" i="1"/>
  <c r="F35" i="1"/>
  <c r="A35" i="1" s="1"/>
  <c r="F43" i="1"/>
  <c r="A43" i="1" s="1"/>
  <c r="F48" i="1"/>
  <c r="A48" i="1" s="1"/>
  <c r="F49" i="1"/>
  <c r="A49" i="1" s="1"/>
  <c r="F4" i="1"/>
  <c r="F6" i="1"/>
  <c r="F30" i="1"/>
  <c r="A30" i="1" s="1"/>
  <c r="F36" i="1"/>
  <c r="A36" i="1" s="1"/>
  <c r="F40" i="1"/>
  <c r="A40" i="1" s="1"/>
  <c r="F42" i="1"/>
  <c r="A42" i="1" s="1"/>
  <c r="F45" i="1"/>
  <c r="A45" i="1" s="1"/>
  <c r="F51" i="1"/>
  <c r="A51" i="1" s="1"/>
  <c r="F52" i="1"/>
  <c r="A52" i="1" s="1"/>
  <c r="F54" i="1"/>
  <c r="A54" i="1" s="1"/>
  <c r="F7" i="1"/>
  <c r="F15" i="1"/>
  <c r="F38" i="1"/>
  <c r="A38" i="1" s="1"/>
  <c r="F31" i="1"/>
  <c r="A31" i="1" s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A47" i="1"/>
  <c r="A55" i="1"/>
  <c r="B30" i="3"/>
  <c r="B31" i="3"/>
  <c r="C31" i="3" s="1"/>
  <c r="A31" i="3" s="1"/>
  <c r="B32" i="3"/>
  <c r="C32" i="3" s="1"/>
  <c r="B33" i="3"/>
  <c r="C33" i="3" s="1"/>
  <c r="A33" i="3" s="1"/>
  <c r="B34" i="3"/>
  <c r="C34" i="3" s="1"/>
  <c r="B35" i="3"/>
  <c r="C35" i="3" s="1"/>
  <c r="B36" i="3"/>
  <c r="C36" i="3" s="1"/>
  <c r="A36" i="3" s="1"/>
  <c r="B37" i="3"/>
  <c r="C37" i="3" s="1"/>
  <c r="B38" i="3"/>
  <c r="C38" i="3" s="1"/>
  <c r="B39" i="3"/>
  <c r="C39" i="3" s="1"/>
  <c r="A39" i="3" s="1"/>
  <c r="B40" i="3"/>
  <c r="C40" i="3" s="1"/>
  <c r="A40" i="3" s="1"/>
  <c r="B41" i="3"/>
  <c r="B42" i="3"/>
  <c r="C42" i="3" s="1"/>
  <c r="B43" i="3"/>
  <c r="B44" i="3"/>
  <c r="C44" i="3" s="1"/>
  <c r="B45" i="3"/>
  <c r="C45" i="3" s="1"/>
  <c r="A45" i="3" s="1"/>
  <c r="B46" i="3"/>
  <c r="C46" i="3" s="1"/>
  <c r="B47" i="3"/>
  <c r="C47" i="3" s="1"/>
  <c r="B48" i="3"/>
  <c r="C48" i="3" s="1"/>
  <c r="B49" i="3"/>
  <c r="C49" i="3" s="1"/>
  <c r="B50" i="3"/>
  <c r="C50" i="3" s="1"/>
  <c r="B51" i="3"/>
  <c r="C51" i="3" s="1"/>
  <c r="B52" i="3"/>
  <c r="C52" i="3" s="1"/>
  <c r="A52" i="3" s="1"/>
  <c r="B53" i="3"/>
  <c r="B54" i="3"/>
  <c r="B55" i="3"/>
  <c r="B56" i="3"/>
  <c r="C56" i="3" s="1"/>
  <c r="B57" i="3"/>
  <c r="C57" i="3" s="1"/>
  <c r="A57" i="3" s="1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K2" i="5"/>
  <c r="F2" i="6" s="1" a="1"/>
  <c r="F2" i="6" s="1"/>
  <c r="A44" i="3" l="1"/>
  <c r="C54" i="3"/>
  <c r="A54" i="3" s="1"/>
  <c r="C41" i="3"/>
  <c r="A41" i="3" s="1"/>
  <c r="C55" i="3"/>
  <c r="A55" i="3" s="1"/>
  <c r="C43" i="3"/>
  <c r="A43" i="3" s="1"/>
  <c r="A34" i="3"/>
  <c r="C30" i="3"/>
  <c r="A30" i="3" s="1"/>
  <c r="C53" i="3"/>
  <c r="A53" i="3" s="1"/>
  <c r="L3" i="5"/>
  <c r="M3" i="5" s="1"/>
  <c r="A47" i="3"/>
  <c r="A46" i="3"/>
  <c r="A37" i="3"/>
  <c r="A50" i="3"/>
  <c r="A56" i="3"/>
  <c r="A51" i="3"/>
  <c r="A42" i="3"/>
  <c r="A49" i="3"/>
  <c r="A48" i="3"/>
  <c r="A35" i="3"/>
  <c r="A32" i="3"/>
  <c r="A38" i="3"/>
  <c r="A7" i="2" l="1"/>
  <c r="A13" i="2" l="1"/>
  <c r="B2" i="3"/>
  <c r="C2" i="3" s="1"/>
  <c r="B3" i="3"/>
  <c r="C3" i="3" s="1"/>
  <c r="B4" i="3"/>
  <c r="C4" i="3" s="1"/>
  <c r="B5" i="3"/>
  <c r="C5" i="3" s="1"/>
  <c r="B6" i="3"/>
  <c r="C6" i="3" s="1"/>
  <c r="B7" i="3"/>
  <c r="C7" i="3" s="1"/>
  <c r="B8" i="3"/>
  <c r="C8" i="3" s="1"/>
  <c r="B9" i="3"/>
  <c r="C9" i="3" s="1"/>
  <c r="B10" i="3"/>
  <c r="C10" i="3" s="1"/>
  <c r="B11" i="3"/>
  <c r="C11" i="3" s="1"/>
  <c r="B12" i="3"/>
  <c r="C12" i="3" s="1"/>
  <c r="B13" i="3"/>
  <c r="C13" i="3" s="1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C28" i="3" s="1"/>
  <c r="B29" i="3"/>
  <c r="C29" i="3" s="1"/>
  <c r="A15" i="3" l="1"/>
  <c r="A21" i="3"/>
  <c r="A25" i="3"/>
  <c r="A22" i="3"/>
  <c r="A10" i="3"/>
  <c r="A27" i="3"/>
  <c r="A19" i="3"/>
  <c r="A9" i="3"/>
  <c r="A4" i="3"/>
  <c r="A24" i="3"/>
  <c r="A16" i="3"/>
  <c r="A12" i="3"/>
  <c r="A8" i="3"/>
  <c r="A5" i="3"/>
  <c r="A3" i="3"/>
  <c r="A20" i="3"/>
  <c r="A29" i="3"/>
  <c r="A26" i="3"/>
  <c r="A23" i="3"/>
  <c r="A14" i="3"/>
  <c r="A2" i="3"/>
  <c r="A28" i="3"/>
  <c r="A18" i="3"/>
  <c r="A17" i="3"/>
  <c r="A13" i="3"/>
  <c r="A11" i="3"/>
  <c r="A6" i="3"/>
  <c r="A7" i="3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J58" i="2" l="1"/>
  <c r="J63" i="2"/>
  <c r="J70" i="2"/>
  <c r="J76" i="2"/>
  <c r="J82" i="2"/>
  <c r="J62" i="2"/>
  <c r="J80" i="2"/>
  <c r="J59" i="2"/>
  <c r="J64" i="2"/>
  <c r="J71" i="2"/>
  <c r="J78" i="2"/>
  <c r="J83" i="2"/>
  <c r="J75" i="2"/>
  <c r="J60" i="2"/>
  <c r="J66" i="2"/>
  <c r="J74" i="2"/>
  <c r="J79" i="2"/>
  <c r="J67" i="2"/>
  <c r="J72" i="2"/>
  <c r="J84" i="2"/>
  <c r="J73" i="2"/>
  <c r="J69" i="2"/>
  <c r="J65" i="2"/>
  <c r="J61" i="2"/>
  <c r="J68" i="2"/>
  <c r="J85" i="2"/>
  <c r="J81" i="2"/>
  <c r="J77" i="2"/>
  <c r="G58" i="2" a="1"/>
  <c r="G58" i="2" s="1"/>
  <c r="G63" i="2" a="1"/>
  <c r="G63" i="2" s="1"/>
  <c r="G71" i="2" a="1"/>
  <c r="G71" i="2" s="1"/>
  <c r="G76" i="2" a="1"/>
  <c r="G76" i="2" s="1"/>
  <c r="G83" i="2" a="1"/>
  <c r="G83" i="2" s="1"/>
  <c r="K59" i="2" a="1"/>
  <c r="K59" i="2" s="1"/>
  <c r="K67" i="2" a="1"/>
  <c r="K67" i="2" s="1"/>
  <c r="K75" i="2" a="1"/>
  <c r="K75" i="2" s="1"/>
  <c r="K83" i="2" a="1"/>
  <c r="K83" i="2" s="1"/>
  <c r="P70" i="2" a="1"/>
  <c r="P70" i="2" s="1"/>
  <c r="P75" i="2" a="1"/>
  <c r="P75" i="2" s="1"/>
  <c r="P80" i="2" a="1"/>
  <c r="P80" i="2" s="1"/>
  <c r="P84" i="2" a="1"/>
  <c r="P84" i="2" s="1"/>
  <c r="G59" i="2" a="1"/>
  <c r="G59" i="2" s="1"/>
  <c r="G66" i="2" a="1"/>
  <c r="G66" i="2" s="1"/>
  <c r="G72" i="2" a="1"/>
  <c r="G72" i="2" s="1"/>
  <c r="G78" i="2" a="1"/>
  <c r="G78" i="2" s="1"/>
  <c r="K62" i="2" a="1"/>
  <c r="K62" i="2" s="1"/>
  <c r="K70" i="2" a="1"/>
  <c r="K70" i="2" s="1"/>
  <c r="K78" i="2" a="1"/>
  <c r="K78" i="2" s="1"/>
  <c r="P58" i="2" a="1"/>
  <c r="P58" i="2" s="1"/>
  <c r="P63" i="2" a="1"/>
  <c r="P63" i="2" s="1"/>
  <c r="P71" i="2" a="1"/>
  <c r="P71" i="2" s="1"/>
  <c r="P78" i="2" a="1"/>
  <c r="P78" i="2" s="1"/>
  <c r="P82" i="2" a="1"/>
  <c r="P82" i="2" s="1"/>
  <c r="G60" i="2" a="1"/>
  <c r="G60" i="2" s="1"/>
  <c r="G67" i="2" a="1"/>
  <c r="G67" i="2" s="1"/>
  <c r="G74" i="2" a="1"/>
  <c r="G74" i="2" s="1"/>
  <c r="G79" i="2" a="1"/>
  <c r="G79" i="2" s="1"/>
  <c r="K63" i="2" a="1"/>
  <c r="K63" i="2" s="1"/>
  <c r="K71" i="2" a="1"/>
  <c r="K71" i="2" s="1"/>
  <c r="K79" i="2" a="1"/>
  <c r="K79" i="2" s="1"/>
  <c r="P59" i="2" a="1"/>
  <c r="P59" i="2" s="1"/>
  <c r="P66" i="2" a="1"/>
  <c r="P66" i="2" s="1"/>
  <c r="P74" i="2" a="1"/>
  <c r="P74" i="2" s="1"/>
  <c r="P79" i="2" a="1"/>
  <c r="P79" i="2" s="1"/>
  <c r="G75" i="2" a="1"/>
  <c r="G75" i="2" s="1"/>
  <c r="K58" i="2" a="1"/>
  <c r="K58" i="2" s="1"/>
  <c r="P62" i="2" a="1"/>
  <c r="P62" i="2" s="1"/>
  <c r="P83" i="2" a="1"/>
  <c r="P83" i="2" s="1"/>
  <c r="G82" i="2" a="1"/>
  <c r="G82" i="2" s="1"/>
  <c r="K66" i="2" a="1"/>
  <c r="K66" i="2" s="1"/>
  <c r="P67" i="2" a="1"/>
  <c r="P67" i="2" s="1"/>
  <c r="G62" i="2" a="1"/>
  <c r="G62" i="2" s="1"/>
  <c r="K74" i="2" a="1"/>
  <c r="K74" i="2" s="1"/>
  <c r="G70" i="2" a="1"/>
  <c r="G70" i="2" s="1"/>
  <c r="K82" i="2" a="1"/>
  <c r="K82" i="2" s="1"/>
  <c r="G84" i="2" a="1"/>
  <c r="G84" i="2" s="1"/>
  <c r="G64" i="2" a="1"/>
  <c r="G64" i="2" s="1"/>
  <c r="K76" i="2" a="1"/>
  <c r="K76" i="2" s="1"/>
  <c r="K60" i="2" a="1"/>
  <c r="K60" i="2" s="1"/>
  <c r="P81" i="2" a="1"/>
  <c r="P81" i="2" s="1"/>
  <c r="K77" i="2" a="1"/>
  <c r="K77" i="2" s="1"/>
  <c r="P76" i="2" a="1"/>
  <c r="P76" i="2" s="1"/>
  <c r="P64" i="2" a="1"/>
  <c r="P64" i="2" s="1"/>
  <c r="K68" i="2" a="1"/>
  <c r="K68" i="2" s="1"/>
  <c r="G81" i="2" a="1"/>
  <c r="G81" i="2" s="1"/>
  <c r="G77" i="2" a="1"/>
  <c r="G77" i="2" s="1"/>
  <c r="G73" i="2" a="1"/>
  <c r="G73" i="2" s="1"/>
  <c r="G85" i="2" a="1"/>
  <c r="G85" i="2" s="1"/>
  <c r="G61" i="2" a="1"/>
  <c r="G61" i="2" s="1"/>
  <c r="G69" i="2" a="1"/>
  <c r="G69" i="2" s="1"/>
  <c r="G68" i="2" a="1"/>
  <c r="G68" i="2" s="1"/>
  <c r="K84" i="2" a="1"/>
  <c r="K84" i="2" s="1"/>
  <c r="K64" i="2" a="1"/>
  <c r="K64" i="2" s="1"/>
  <c r="G80" i="2" a="1"/>
  <c r="G80" i="2" s="1"/>
  <c r="P65" i="2" a="1"/>
  <c r="P65" i="2" s="1"/>
  <c r="P72" i="2" a="1"/>
  <c r="P72" i="2" s="1"/>
  <c r="P73" i="2" a="1"/>
  <c r="P73" i="2" s="1"/>
  <c r="K65" i="2" a="1"/>
  <c r="K65" i="2" s="1"/>
  <c r="K85" i="2" a="1"/>
  <c r="K85" i="2" s="1"/>
  <c r="K61" i="2" a="1"/>
  <c r="K61" i="2" s="1"/>
  <c r="K69" i="2" a="1"/>
  <c r="K69" i="2" s="1"/>
  <c r="K80" i="2" a="1"/>
  <c r="K80" i="2" s="1"/>
  <c r="P60" i="2" a="1"/>
  <c r="P60" i="2" s="1"/>
  <c r="K72" i="2" a="1"/>
  <c r="K72" i="2" s="1"/>
  <c r="P68" i="2" a="1"/>
  <c r="P68" i="2" s="1"/>
  <c r="K81" i="2" a="1"/>
  <c r="K81" i="2" s="1"/>
  <c r="P77" i="2" a="1"/>
  <c r="P77" i="2" s="1"/>
  <c r="G65" i="2" a="1"/>
  <c r="G65" i="2" s="1"/>
  <c r="K73" i="2" a="1"/>
  <c r="K73" i="2" s="1"/>
  <c r="P85" i="2" a="1"/>
  <c r="P85" i="2" s="1"/>
  <c r="P61" i="2" a="1"/>
  <c r="P61" i="2" s="1"/>
  <c r="P69" i="2" a="1"/>
  <c r="P69" i="2" s="1"/>
  <c r="J3" i="3"/>
  <c r="J20" i="3"/>
  <c r="J2" i="3"/>
  <c r="A2" i="2"/>
  <c r="P28" i="1" s="1"/>
  <c r="A3" i="2"/>
  <c r="A4" i="2"/>
  <c r="P20" i="1" s="1"/>
  <c r="A5" i="2"/>
  <c r="P12" i="1" s="1"/>
  <c r="A6" i="2"/>
  <c r="A8" i="2"/>
  <c r="A9" i="2"/>
  <c r="A10" i="2"/>
  <c r="A11" i="2"/>
  <c r="A12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P21" i="1" l="1"/>
  <c r="J28" i="3"/>
  <c r="J19" i="3"/>
  <c r="J10" i="3"/>
  <c r="P26" i="1"/>
  <c r="J14" i="3"/>
  <c r="P25" i="1"/>
  <c r="J24" i="3"/>
  <c r="J4" i="3"/>
  <c r="J13" i="3"/>
  <c r="P14" i="1"/>
  <c r="P23" i="1"/>
  <c r="J6" i="3"/>
  <c r="J22" i="3"/>
  <c r="J17" i="3"/>
  <c r="P13" i="1"/>
  <c r="P29" i="1"/>
  <c r="J5" i="3"/>
  <c r="P3" i="1"/>
  <c r="P19" i="1"/>
  <c r="J18" i="3"/>
  <c r="J15" i="3"/>
  <c r="J29" i="3"/>
  <c r="P6" i="1"/>
  <c r="P22" i="1"/>
  <c r="J16" i="3"/>
  <c r="P16" i="1"/>
  <c r="P5" i="1"/>
  <c r="J27" i="3"/>
  <c r="P11" i="1"/>
  <c r="P10" i="1"/>
  <c r="J23" i="3"/>
  <c r="P24" i="1"/>
  <c r="P9" i="1"/>
  <c r="J11" i="3"/>
  <c r="P15" i="1"/>
  <c r="J33" i="3"/>
  <c r="P39" i="1"/>
  <c r="P47" i="1"/>
  <c r="P35" i="1"/>
  <c r="P54" i="1"/>
  <c r="P44" i="1"/>
  <c r="P32" i="1"/>
  <c r="P34" i="1"/>
  <c r="P37" i="1"/>
  <c r="J57" i="3"/>
  <c r="P41" i="1"/>
  <c r="P40" i="1"/>
  <c r="P49" i="1"/>
  <c r="P53" i="1"/>
  <c r="P31" i="1"/>
  <c r="J52" i="3"/>
  <c r="P38" i="1"/>
  <c r="P56" i="1"/>
  <c r="P33" i="1"/>
  <c r="P51" i="1"/>
  <c r="P45" i="1"/>
  <c r="J36" i="3"/>
  <c r="J31" i="3"/>
  <c r="P50" i="1"/>
  <c r="P42" i="1"/>
  <c r="J40" i="3"/>
  <c r="P52" i="1"/>
  <c r="P46" i="1"/>
  <c r="J39" i="3"/>
  <c r="P36" i="1"/>
  <c r="P55" i="1"/>
  <c r="P30" i="1"/>
  <c r="P57" i="1"/>
  <c r="P43" i="1"/>
  <c r="J45" i="3"/>
  <c r="P48" i="1"/>
  <c r="J37" i="3"/>
  <c r="J55" i="3"/>
  <c r="J42" i="3"/>
  <c r="J48" i="3"/>
  <c r="J49" i="3"/>
  <c r="J46" i="3"/>
  <c r="J30" i="3"/>
  <c r="J53" i="3"/>
  <c r="J56" i="3"/>
  <c r="J50" i="3"/>
  <c r="J35" i="3"/>
  <c r="J43" i="3"/>
  <c r="J32" i="3"/>
  <c r="J51" i="3"/>
  <c r="J44" i="3"/>
  <c r="J41" i="3"/>
  <c r="J47" i="3"/>
  <c r="J34" i="3"/>
  <c r="J54" i="3"/>
  <c r="J38" i="3"/>
  <c r="J8" i="3"/>
  <c r="P2" i="1"/>
  <c r="P18" i="1"/>
  <c r="J25" i="3"/>
  <c r="P8" i="1"/>
  <c r="J12" i="3"/>
  <c r="J7" i="3"/>
  <c r="P17" i="1"/>
  <c r="J21" i="3"/>
  <c r="J26" i="3"/>
  <c r="P7" i="1"/>
  <c r="P27" i="1"/>
  <c r="P4" i="1"/>
  <c r="J9" i="3"/>
  <c r="J13" i="2"/>
  <c r="P40" i="2" a="1"/>
  <c r="P40" i="2" s="1"/>
  <c r="P41" i="2" a="1"/>
  <c r="P41" i="2" s="1"/>
  <c r="K39" i="2" a="1"/>
  <c r="K39" i="2" s="1"/>
  <c r="P30" i="2" a="1"/>
  <c r="P30" i="2" s="1"/>
  <c r="K48" i="2" a="1"/>
  <c r="K48" i="2" s="1"/>
  <c r="P29" i="2" a="1"/>
  <c r="P29" i="2" s="1"/>
  <c r="K23" i="2" a="1"/>
  <c r="K23" i="2" s="1"/>
  <c r="P57" i="2" a="1"/>
  <c r="P57" i="2" s="1"/>
  <c r="P38" i="2" a="1"/>
  <c r="P38" i="2" s="1"/>
  <c r="K7" i="2" a="1"/>
  <c r="K7" i="2" s="1"/>
  <c r="P9" i="2" a="1"/>
  <c r="P9" i="2" s="1"/>
  <c r="P23" i="2" a="1"/>
  <c r="P23" i="2" s="1"/>
  <c r="K53" i="2" a="1"/>
  <c r="K53" i="2" s="1"/>
  <c r="P24" i="2" a="1"/>
  <c r="P24" i="2" s="1"/>
  <c r="K27" i="2" a="1"/>
  <c r="K27" i="2" s="1"/>
  <c r="K42" i="2" a="1"/>
  <c r="K42" i="2" s="1"/>
  <c r="K36" i="2" a="1"/>
  <c r="K36" i="2" s="1"/>
  <c r="P56" i="2" a="1"/>
  <c r="P56" i="2" s="1"/>
  <c r="P46" i="2" a="1"/>
  <c r="P46" i="2" s="1"/>
  <c r="K56" i="2" a="1"/>
  <c r="K56" i="2" s="1"/>
  <c r="K57" i="2" a="1"/>
  <c r="K57" i="2" s="1"/>
  <c r="P31" i="2" a="1"/>
  <c r="P31" i="2" s="1"/>
  <c r="K32" i="2" a="1"/>
  <c r="K32" i="2" s="1"/>
  <c r="K17" i="2" a="1"/>
  <c r="K17" i="2" s="1"/>
  <c r="K22" i="2" a="1"/>
  <c r="K22" i="2" s="1"/>
  <c r="K44" i="2" a="1"/>
  <c r="K44" i="2" s="1"/>
  <c r="K45" i="2" a="1"/>
  <c r="K45" i="2" s="1"/>
  <c r="K37" i="2" a="1"/>
  <c r="K37" i="2" s="1"/>
  <c r="P34" i="2" a="1"/>
  <c r="P34" i="2" s="1"/>
  <c r="P44" i="2" a="1"/>
  <c r="P44" i="2" s="1"/>
  <c r="K33" i="2" a="1"/>
  <c r="K33" i="2" s="1"/>
  <c r="P53" i="2" a="1"/>
  <c r="P53" i="2" s="1"/>
  <c r="K47" i="2" a="1"/>
  <c r="K47" i="2" s="1"/>
  <c r="P48" i="2" a="1"/>
  <c r="P48" i="2" s="1"/>
  <c r="K41" i="2" a="1"/>
  <c r="K41" i="2" s="1"/>
  <c r="K25" i="2" a="1"/>
  <c r="K25" i="2" s="1"/>
  <c r="K24" i="2" a="1"/>
  <c r="K24" i="2" s="1"/>
  <c r="P17" i="2" a="1"/>
  <c r="P17" i="2" s="1"/>
  <c r="K11" i="2" a="1"/>
  <c r="K11" i="2" s="1"/>
  <c r="P2" i="2" a="1"/>
  <c r="P2" i="2" s="1"/>
  <c r="P27" i="2" a="1"/>
  <c r="P27" i="2" s="1"/>
  <c r="P8" i="2" a="1"/>
  <c r="P8" i="2" s="1"/>
  <c r="P22" i="2" a="1"/>
  <c r="P22" i="2" s="1"/>
  <c r="K14" i="2" a="1"/>
  <c r="K14" i="2" s="1"/>
  <c r="P33" i="2" a="1"/>
  <c r="P33" i="2" s="1"/>
  <c r="K51" i="2" a="1"/>
  <c r="K51" i="2" s="1"/>
  <c r="K40" i="2" a="1"/>
  <c r="K40" i="2" s="1"/>
  <c r="P55" i="2" a="1"/>
  <c r="P55" i="2" s="1"/>
  <c r="P42" i="2" a="1"/>
  <c r="P42" i="2" s="1"/>
  <c r="K12" i="2" a="1"/>
  <c r="K12" i="2" s="1"/>
  <c r="K10" i="2" a="1"/>
  <c r="K10" i="2" s="1"/>
  <c r="P18" i="2" a="1"/>
  <c r="P18" i="2" s="1"/>
  <c r="K19" i="2" a="1"/>
  <c r="K19" i="2" s="1"/>
  <c r="K6" i="2" a="1"/>
  <c r="K6" i="2" s="1"/>
  <c r="P37" i="2" a="1"/>
  <c r="P37" i="2" s="1"/>
  <c r="K30" i="2" a="1"/>
  <c r="K30" i="2" s="1"/>
  <c r="P5" i="2" a="1"/>
  <c r="P5" i="2" s="1"/>
  <c r="K9" i="2" a="1"/>
  <c r="K9" i="2" s="1"/>
  <c r="P15" i="2" a="1"/>
  <c r="P15" i="2" s="1"/>
  <c r="P20" i="2" a="1"/>
  <c r="P20" i="2" s="1"/>
  <c r="K46" i="2" a="1"/>
  <c r="K46" i="2" s="1"/>
  <c r="P52" i="2" a="1"/>
  <c r="P52" i="2" s="1"/>
  <c r="K38" i="2" a="1"/>
  <c r="K38" i="2" s="1"/>
  <c r="K29" i="2" a="1"/>
  <c r="K29" i="2" s="1"/>
  <c r="K28" i="2" a="1"/>
  <c r="K28" i="2" s="1"/>
  <c r="K20" i="2" a="1"/>
  <c r="K20" i="2" s="1"/>
  <c r="P36" i="2" a="1"/>
  <c r="P36" i="2" s="1"/>
  <c r="P11" i="2" a="1"/>
  <c r="P11" i="2" s="1"/>
  <c r="K8" i="2" a="1"/>
  <c r="K8" i="2" s="1"/>
  <c r="K52" i="2" a="1"/>
  <c r="K52" i="2" s="1"/>
  <c r="K55" i="2" a="1"/>
  <c r="K55" i="2" s="1"/>
  <c r="P50" i="2" a="1"/>
  <c r="P50" i="2" s="1"/>
  <c r="P43" i="2" a="1"/>
  <c r="P43" i="2" s="1"/>
  <c r="P39" i="2" a="1"/>
  <c r="P39" i="2" s="1"/>
  <c r="K43" i="2" a="1"/>
  <c r="K43" i="2" s="1"/>
  <c r="K34" i="2" a="1"/>
  <c r="K34" i="2" s="1"/>
  <c r="P35" i="2" a="1"/>
  <c r="P35" i="2" s="1"/>
  <c r="K35" i="2" a="1"/>
  <c r="K35" i="2" s="1"/>
  <c r="P13" i="2" a="1"/>
  <c r="P13" i="2" s="1"/>
  <c r="P12" i="2" a="1"/>
  <c r="P12" i="2" s="1"/>
  <c r="K4" i="2" a="1"/>
  <c r="K4" i="2" s="1"/>
  <c r="P10" i="2" a="1"/>
  <c r="P10" i="2" s="1"/>
  <c r="K16" i="2" a="1"/>
  <c r="K16" i="2" s="1"/>
  <c r="K18" i="2" a="1"/>
  <c r="K18" i="2" s="1"/>
  <c r="K21" i="2" a="1"/>
  <c r="K21" i="2" s="1"/>
  <c r="P19" i="2" a="1"/>
  <c r="P19" i="2" s="1"/>
  <c r="P26" i="2" a="1"/>
  <c r="P26" i="2" s="1"/>
  <c r="P6" i="2" a="1"/>
  <c r="P6" i="2" s="1"/>
  <c r="P32" i="2" a="1"/>
  <c r="P32" i="2" s="1"/>
  <c r="P51" i="2" a="1"/>
  <c r="P51" i="2" s="1"/>
  <c r="K50" i="2" a="1"/>
  <c r="K50" i="2" s="1"/>
  <c r="P47" i="2" a="1"/>
  <c r="P47" i="2" s="1"/>
  <c r="K13" i="2" a="1"/>
  <c r="K13" i="2" s="1"/>
  <c r="P4" i="2" a="1"/>
  <c r="P4" i="2" s="1"/>
  <c r="P16" i="2" a="1"/>
  <c r="P16" i="2" s="1"/>
  <c r="P21" i="2" a="1"/>
  <c r="P21" i="2" s="1"/>
  <c r="K26" i="2" a="1"/>
  <c r="K26" i="2" s="1"/>
  <c r="K31" i="2" a="1"/>
  <c r="K31" i="2" s="1"/>
  <c r="K54" i="2" a="1"/>
  <c r="K54" i="2" s="1"/>
  <c r="P7" i="2" a="1"/>
  <c r="P7" i="2" s="1"/>
  <c r="K3" i="2" a="1"/>
  <c r="K3" i="2" s="1"/>
  <c r="P28" i="2" a="1"/>
  <c r="P28" i="2" s="1"/>
  <c r="P49" i="2" a="1"/>
  <c r="P49" i="2" s="1"/>
  <c r="K49" i="2" a="1"/>
  <c r="K49" i="2" s="1"/>
  <c r="P54" i="2" a="1"/>
  <c r="P54" i="2" s="1"/>
  <c r="K5" i="2" a="1"/>
  <c r="K5" i="2" s="1"/>
  <c r="P3" i="2" a="1"/>
  <c r="P3" i="2" s="1"/>
  <c r="K15" i="2" a="1"/>
  <c r="K15" i="2" s="1"/>
  <c r="P45" i="2" a="1"/>
  <c r="P45" i="2" s="1"/>
  <c r="P25" i="2" a="1"/>
  <c r="P25" i="2" s="1"/>
  <c r="K2" i="2" a="1"/>
  <c r="K2" i="2" s="1"/>
  <c r="P14" i="2" a="1"/>
  <c r="P14" i="2" s="1"/>
  <c r="G6" i="2" a="1"/>
  <c r="G6" i="2" s="1"/>
  <c r="G51" i="2" a="1"/>
  <c r="G51" i="2" s="1"/>
  <c r="G19" i="2" a="1"/>
  <c r="G19" i="2" s="1"/>
  <c r="G44" i="2" a="1"/>
  <c r="G44" i="2" s="1"/>
  <c r="G55" i="2" a="1"/>
  <c r="G55" i="2" s="1"/>
  <c r="G22" i="2" a="1"/>
  <c r="G22" i="2" s="1"/>
  <c r="G48" i="2" a="1"/>
  <c r="G48" i="2" s="1"/>
  <c r="G3" i="2" a="1"/>
  <c r="G3" i="2" s="1"/>
  <c r="G25" i="2" a="1"/>
  <c r="G25" i="2" s="1"/>
  <c r="G15" i="2" a="1"/>
  <c r="G15" i="2" s="1"/>
  <c r="G45" i="2" a="1"/>
  <c r="G45" i="2" s="1"/>
  <c r="G14" i="2" a="1"/>
  <c r="G14" i="2" s="1"/>
  <c r="G38" i="2" a="1"/>
  <c r="G38" i="2" s="1"/>
  <c r="G49" i="2" a="1"/>
  <c r="G49" i="2" s="1"/>
  <c r="G17" i="2" a="1"/>
  <c r="G17" i="2" s="1"/>
  <c r="G42" i="2" a="1"/>
  <c r="G42" i="2" s="1"/>
  <c r="G53" i="2" a="1"/>
  <c r="G53" i="2" s="1"/>
  <c r="G20" i="2" a="1"/>
  <c r="G20" i="2" s="1"/>
  <c r="G24" i="2" a="1"/>
  <c r="G24" i="2" s="1"/>
  <c r="G39" i="2" a="1"/>
  <c r="G39" i="2" s="1"/>
  <c r="G10" i="2" a="1"/>
  <c r="G10" i="2" s="1"/>
  <c r="G32" i="2" a="1"/>
  <c r="G32" i="2" s="1"/>
  <c r="G43" i="2" a="1"/>
  <c r="G43" i="2" s="1"/>
  <c r="G13" i="2" a="1"/>
  <c r="G13" i="2" s="1"/>
  <c r="G36" i="2" a="1"/>
  <c r="G36" i="2" s="1"/>
  <c r="G47" i="2" a="1"/>
  <c r="G47" i="2" s="1"/>
  <c r="G16" i="2" a="1"/>
  <c r="G16" i="2" s="1"/>
  <c r="G46" i="2" a="1"/>
  <c r="G46" i="2" s="1"/>
  <c r="G33" i="2" a="1"/>
  <c r="G33" i="2" s="1"/>
  <c r="G5" i="2" a="1"/>
  <c r="G5" i="2" s="1"/>
  <c r="G27" i="2" a="1"/>
  <c r="G27" i="2" s="1"/>
  <c r="G37" i="2" a="1"/>
  <c r="G37" i="2" s="1"/>
  <c r="G8" i="2" a="1"/>
  <c r="G8" i="2" s="1"/>
  <c r="G30" i="2" a="1"/>
  <c r="G30" i="2" s="1"/>
  <c r="G41" i="2" a="1"/>
  <c r="G41" i="2" s="1"/>
  <c r="G11" i="2" a="1"/>
  <c r="G11" i="2" s="1"/>
  <c r="G40" i="2" a="1"/>
  <c r="G40" i="2" s="1"/>
  <c r="G52" i="2" a="1"/>
  <c r="G52" i="2" s="1"/>
  <c r="G28" i="2" a="1"/>
  <c r="G28" i="2" s="1"/>
  <c r="G56" i="2" a="1"/>
  <c r="G56" i="2" s="1"/>
  <c r="G18" i="2" a="1"/>
  <c r="G18" i="2" s="1"/>
  <c r="G31" i="2" a="1"/>
  <c r="G31" i="2" s="1"/>
  <c r="G4" i="2" a="1"/>
  <c r="G4" i="2" s="1"/>
  <c r="G21" i="2" a="1"/>
  <c r="G21" i="2" s="1"/>
  <c r="G35" i="2" a="1"/>
  <c r="G35" i="2" s="1"/>
  <c r="G7" i="2" a="1"/>
  <c r="G7" i="2" s="1"/>
  <c r="G34" i="2" a="1"/>
  <c r="G34" i="2" s="1"/>
  <c r="G57" i="2" a="1"/>
  <c r="G57" i="2" s="1"/>
  <c r="G23" i="2" a="1"/>
  <c r="G23" i="2" s="1"/>
  <c r="G50" i="2" a="1"/>
  <c r="G50" i="2" s="1"/>
  <c r="G9" i="2" a="1"/>
  <c r="G9" i="2" s="1"/>
  <c r="G26" i="2" a="1"/>
  <c r="G26" i="2" s="1"/>
  <c r="G54" i="2" a="1"/>
  <c r="G54" i="2" s="1"/>
  <c r="G12" i="2" a="1"/>
  <c r="G12" i="2" s="1"/>
  <c r="G29" i="2" a="1"/>
  <c r="G29" i="2" s="1"/>
  <c r="G2" i="2" a="1"/>
  <c r="G2" i="2" s="1"/>
  <c r="J48" i="2"/>
  <c r="J47" i="2"/>
  <c r="J43" i="2"/>
  <c r="J36" i="2"/>
  <c r="J7" i="2"/>
  <c r="J56" i="2"/>
  <c r="J32" i="2"/>
  <c r="J33" i="2"/>
  <c r="J30" i="2"/>
  <c r="J53" i="2"/>
  <c r="J35" i="2"/>
  <c r="J55" i="2"/>
  <c r="J46" i="2"/>
  <c r="J51" i="2"/>
  <c r="J38" i="2"/>
  <c r="J44" i="2"/>
  <c r="J45" i="2"/>
  <c r="J40" i="2"/>
  <c r="J39" i="2"/>
  <c r="J42" i="2"/>
  <c r="J41" i="2"/>
  <c r="J34" i="2"/>
  <c r="J57" i="2"/>
  <c r="J49" i="2"/>
  <c r="J50" i="2"/>
  <c r="J31" i="2"/>
  <c r="J54" i="2"/>
  <c r="J52" i="2"/>
  <c r="J37" i="2"/>
  <c r="J6" i="2"/>
  <c r="J20" i="2"/>
  <c r="J16" i="2"/>
  <c r="J17" i="2"/>
  <c r="J8" i="2"/>
  <c r="J27" i="2"/>
  <c r="J21" i="2"/>
  <c r="J9" i="2"/>
  <c r="J5" i="2"/>
  <c r="J12" i="2"/>
  <c r="J10" i="2"/>
  <c r="J19" i="2"/>
  <c r="J18" i="2"/>
  <c r="J3" i="2"/>
  <c r="J11" i="2"/>
  <c r="J23" i="2"/>
  <c r="J14" i="2"/>
  <c r="J15" i="2"/>
  <c r="J28" i="2"/>
  <c r="J4" i="2"/>
  <c r="J25" i="2"/>
  <c r="J26" i="2"/>
  <c r="J22" i="2"/>
  <c r="J29" i="2"/>
  <c r="J2" i="2"/>
  <c r="J24" i="2"/>
  <c r="L60" i="2" l="1"/>
  <c r="N60" i="2" s="1" a="1"/>
  <c r="N60" i="2" s="1"/>
  <c r="L76" i="2"/>
  <c r="N76" i="2" s="1" a="1"/>
  <c r="N76" i="2" s="1"/>
  <c r="M64" i="2"/>
  <c r="O64" i="2" s="1" a="1"/>
  <c r="O64" i="2" s="1"/>
  <c r="L66" i="2"/>
  <c r="N66" i="2" s="1" a="1"/>
  <c r="N66" i="2" s="1"/>
  <c r="L72" i="2"/>
  <c r="N72" i="2" s="1" a="1"/>
  <c r="N72" i="2" s="1"/>
  <c r="L68" i="2"/>
  <c r="N68" i="2" s="1" a="1"/>
  <c r="N68" i="2" s="1"/>
  <c r="L84" i="2"/>
  <c r="N84" i="2" s="1" a="1"/>
  <c r="N84" i="2" s="1"/>
  <c r="M72" i="2"/>
  <c r="O72" i="2" s="1" a="1"/>
  <c r="O72" i="2" s="1"/>
  <c r="L74" i="2"/>
  <c r="N74" i="2" s="1" a="1"/>
  <c r="N74" i="2" s="1"/>
  <c r="M68" i="2"/>
  <c r="O68" i="2" s="1" a="1"/>
  <c r="O68" i="2" s="1"/>
  <c r="M74" i="2"/>
  <c r="O74" i="2" s="1" a="1"/>
  <c r="O74" i="2" s="1"/>
  <c r="L58" i="2"/>
  <c r="N58" i="2" s="1" a="1"/>
  <c r="N58" i="2" s="1"/>
  <c r="M60" i="2"/>
  <c r="O60" i="2" s="1" a="1"/>
  <c r="O60" i="2" s="1"/>
  <c r="M76" i="2"/>
  <c r="O76" i="2" s="1" a="1"/>
  <c r="O76" i="2" s="1"/>
  <c r="M84" i="2"/>
  <c r="O84" i="2" s="1" a="1"/>
  <c r="O84" i="2" s="1"/>
  <c r="L64" i="2"/>
  <c r="N64" i="2" s="1" a="1"/>
  <c r="N64" i="2" s="1"/>
  <c r="L80" i="2"/>
  <c r="N80" i="2" s="1" a="1"/>
  <c r="N80" i="2" s="1"/>
  <c r="M62" i="2"/>
  <c r="O62" i="2" s="1" a="1"/>
  <c r="O62" i="2" s="1"/>
  <c r="M78" i="2"/>
  <c r="O78" i="2" s="1" a="1"/>
  <c r="O78" i="2" s="1"/>
  <c r="L82" i="2"/>
  <c r="N82" i="2" s="1" a="1"/>
  <c r="N82" i="2" s="1"/>
  <c r="M80" i="2"/>
  <c r="O80" i="2" s="1" a="1"/>
  <c r="O80" i="2" s="1"/>
  <c r="M66" i="2"/>
  <c r="O66" i="2" s="1" a="1"/>
  <c r="O66" i="2" s="1"/>
  <c r="L83" i="2"/>
  <c r="N83" i="2" s="1" a="1"/>
  <c r="N83" i="2" s="1"/>
  <c r="L62" i="2"/>
  <c r="N62" i="2" s="1" a="1"/>
  <c r="N62" i="2" s="1"/>
  <c r="M82" i="2"/>
  <c r="O82" i="2" s="1" a="1"/>
  <c r="O82" i="2" s="1"/>
  <c r="L59" i="2"/>
  <c r="N59" i="2" s="1" a="1"/>
  <c r="N59" i="2" s="1"/>
  <c r="L71" i="2"/>
  <c r="N71" i="2" s="1" a="1"/>
  <c r="N71" i="2" s="1"/>
  <c r="M83" i="2"/>
  <c r="O83" i="2" s="1" a="1"/>
  <c r="O83" i="2" s="1"/>
  <c r="M58" i="2"/>
  <c r="O58" i="2" s="1" a="1"/>
  <c r="O58" i="2" s="1"/>
  <c r="L67" i="2"/>
  <c r="N67" i="2" s="1" a="1"/>
  <c r="N67" i="2" s="1"/>
  <c r="M59" i="2"/>
  <c r="O59" i="2" s="1" a="1"/>
  <c r="O59" i="2" s="1"/>
  <c r="M71" i="2"/>
  <c r="O71" i="2" s="1" a="1"/>
  <c r="O71" i="2" s="1"/>
  <c r="L79" i="2"/>
  <c r="N79" i="2" s="1" a="1"/>
  <c r="N79" i="2" s="1"/>
  <c r="M70" i="2"/>
  <c r="O70" i="2" s="1" a="1"/>
  <c r="O70" i="2" s="1"/>
  <c r="M79" i="2"/>
  <c r="O79" i="2" s="1" a="1"/>
  <c r="O79" i="2" s="1"/>
  <c r="L70" i="2"/>
  <c r="N70" i="2" s="1" a="1"/>
  <c r="N70" i="2" s="1"/>
  <c r="L75" i="2"/>
  <c r="N75" i="2" s="1" a="1"/>
  <c r="N75" i="2" s="1"/>
  <c r="M67" i="2"/>
  <c r="O67" i="2" s="1" a="1"/>
  <c r="O67" i="2" s="1"/>
  <c r="L63" i="2"/>
  <c r="N63" i="2" s="1" a="1"/>
  <c r="N63" i="2" s="1"/>
  <c r="M75" i="2"/>
  <c r="O75" i="2" s="1" a="1"/>
  <c r="O75" i="2" s="1"/>
  <c r="L78" i="2"/>
  <c r="N78" i="2" s="1" a="1"/>
  <c r="N78" i="2" s="1"/>
  <c r="M63" i="2"/>
  <c r="O63" i="2" s="1" a="1"/>
  <c r="O63" i="2" s="1"/>
  <c r="L85" i="2"/>
  <c r="N85" i="2" s="1" a="1"/>
  <c r="N85" i="2" s="1"/>
  <c r="L81" i="2"/>
  <c r="N81" i="2" s="1" a="1"/>
  <c r="N81" i="2" s="1"/>
  <c r="L65" i="2"/>
  <c r="N65" i="2" s="1" a="1"/>
  <c r="N65" i="2" s="1"/>
  <c r="M77" i="2"/>
  <c r="O77" i="2" s="1" a="1"/>
  <c r="O77" i="2" s="1"/>
  <c r="M69" i="2"/>
  <c r="O69" i="2" s="1" a="1"/>
  <c r="O69" i="2" s="1"/>
  <c r="M61" i="2"/>
  <c r="O61" i="2" s="1" a="1"/>
  <c r="O61" i="2" s="1"/>
  <c r="M85" i="2"/>
  <c r="O85" i="2" s="1" a="1"/>
  <c r="O85" i="2" s="1"/>
  <c r="M81" i="2"/>
  <c r="O81" i="2" s="1" a="1"/>
  <c r="O81" i="2" s="1"/>
  <c r="M65" i="2"/>
  <c r="O65" i="2" s="1" a="1"/>
  <c r="O65" i="2" s="1"/>
  <c r="L77" i="2"/>
  <c r="N77" i="2" s="1" a="1"/>
  <c r="N77" i="2" s="1"/>
  <c r="L69" i="2"/>
  <c r="N69" i="2" s="1" a="1"/>
  <c r="N69" i="2" s="1"/>
  <c r="L61" i="2"/>
  <c r="N61" i="2" s="1" a="1"/>
  <c r="N61" i="2" s="1"/>
  <c r="L73" i="2"/>
  <c r="N73" i="2" s="1" a="1"/>
  <c r="N73" i="2" s="1"/>
  <c r="M73" i="2"/>
  <c r="O73" i="2" s="1" a="1"/>
  <c r="O73" i="2" s="1"/>
  <c r="Q71" i="2"/>
  <c r="S71" i="2" s="1" a="1"/>
  <c r="S71" i="2" s="1"/>
  <c r="R59" i="2"/>
  <c r="T59" i="2" s="1" a="1"/>
  <c r="T59" i="2" s="1"/>
  <c r="R75" i="2"/>
  <c r="T75" i="2" s="1" a="1"/>
  <c r="T75" i="2" s="1"/>
  <c r="Q62" i="2"/>
  <c r="S62" i="2" s="1" a="1"/>
  <c r="S62" i="2" s="1"/>
  <c r="Q78" i="2"/>
  <c r="S78" i="2" s="1" a="1"/>
  <c r="S78" i="2" s="1"/>
  <c r="R71" i="2"/>
  <c r="T71" i="2" s="1" a="1"/>
  <c r="T71" i="2" s="1"/>
  <c r="Q59" i="2"/>
  <c r="S59" i="2" s="1" a="1"/>
  <c r="S59" i="2" s="1"/>
  <c r="Q70" i="2"/>
  <c r="S70" i="2" s="1" a="1"/>
  <c r="S70" i="2" s="1"/>
  <c r="R63" i="2"/>
  <c r="T63" i="2" s="1" a="1"/>
  <c r="T63" i="2" s="1"/>
  <c r="Q79" i="2"/>
  <c r="S79" i="2" s="1" a="1"/>
  <c r="S79" i="2" s="1"/>
  <c r="Q63" i="2"/>
  <c r="S63" i="2" s="1" a="1"/>
  <c r="S63" i="2" s="1"/>
  <c r="R67" i="2"/>
  <c r="T67" i="2" s="1" a="1"/>
  <c r="T67" i="2" s="1"/>
  <c r="R78" i="2"/>
  <c r="T78" i="2" s="1" a="1"/>
  <c r="T78" i="2" s="1"/>
  <c r="Q58" i="2"/>
  <c r="S58" i="2" s="1" a="1"/>
  <c r="S58" i="2" s="1"/>
  <c r="R62" i="2"/>
  <c r="T62" i="2" s="1" a="1"/>
  <c r="T62" i="2" s="1"/>
  <c r="Q75" i="2"/>
  <c r="S75" i="2" s="1" a="1"/>
  <c r="S75" i="2" s="1"/>
  <c r="R58" i="2"/>
  <c r="T58" i="2" s="1" a="1"/>
  <c r="T58" i="2" s="1"/>
  <c r="R79" i="2"/>
  <c r="T79" i="2" s="1" a="1"/>
  <c r="T79" i="2" s="1"/>
  <c r="R83" i="2"/>
  <c r="T83" i="2" s="1" a="1"/>
  <c r="T83" i="2" s="1"/>
  <c r="R74" i="2"/>
  <c r="T74" i="2" s="1" a="1"/>
  <c r="T74" i="2" s="1"/>
  <c r="R76" i="2"/>
  <c r="T76" i="2" s="1" a="1"/>
  <c r="T76" i="2" s="1"/>
  <c r="Q67" i="2"/>
  <c r="S67" i="2" s="1" a="1"/>
  <c r="S67" i="2" s="1"/>
  <c r="R80" i="2"/>
  <c r="T80" i="2" s="1" a="1"/>
  <c r="T80" i="2" s="1"/>
  <c r="Q60" i="2"/>
  <c r="S60" i="2" s="1" a="1"/>
  <c r="S60" i="2" s="1"/>
  <c r="Q82" i="2"/>
  <c r="S82" i="2" s="1" a="1"/>
  <c r="S82" i="2" s="1"/>
  <c r="Q68" i="2"/>
  <c r="S68" i="2" s="1" a="1"/>
  <c r="S68" i="2" s="1"/>
  <c r="Q74" i="2"/>
  <c r="S74" i="2" s="1" a="1"/>
  <c r="S74" i="2" s="1"/>
  <c r="Q72" i="2"/>
  <c r="S72" i="2" s="1" a="1"/>
  <c r="S72" i="2" s="1"/>
  <c r="R60" i="2"/>
  <c r="T60" i="2" s="1" a="1"/>
  <c r="T60" i="2" s="1"/>
  <c r="Q64" i="2"/>
  <c r="S64" i="2" s="1" a="1"/>
  <c r="S64" i="2" s="1"/>
  <c r="Q76" i="2"/>
  <c r="S76" i="2" s="1" a="1"/>
  <c r="S76" i="2" s="1"/>
  <c r="Q80" i="2"/>
  <c r="S80" i="2" s="1" a="1"/>
  <c r="S80" i="2" s="1"/>
  <c r="R66" i="2"/>
  <c r="T66" i="2" s="1" a="1"/>
  <c r="T66" i="2" s="1"/>
  <c r="R64" i="2"/>
  <c r="T64" i="2" s="1" a="1"/>
  <c r="T64" i="2" s="1"/>
  <c r="R82" i="2"/>
  <c r="T82" i="2" s="1" a="1"/>
  <c r="T82" i="2" s="1"/>
  <c r="R68" i="2"/>
  <c r="T68" i="2" s="1" a="1"/>
  <c r="T68" i="2" s="1"/>
  <c r="Q84" i="2"/>
  <c r="S84" i="2" s="1" a="1"/>
  <c r="S84" i="2" s="1"/>
  <c r="Q83" i="2"/>
  <c r="S83" i="2" s="1" a="1"/>
  <c r="S83" i="2" s="1"/>
  <c r="R72" i="2"/>
  <c r="T72" i="2" s="1" a="1"/>
  <c r="T72" i="2" s="1"/>
  <c r="Q66" i="2"/>
  <c r="S66" i="2" s="1" a="1"/>
  <c r="S66" i="2" s="1"/>
  <c r="R84" i="2"/>
  <c r="T84" i="2" s="1" a="1"/>
  <c r="T84" i="2" s="1"/>
  <c r="R70" i="2"/>
  <c r="T70" i="2" s="1" a="1"/>
  <c r="T70" i="2" s="1"/>
  <c r="R69" i="2"/>
  <c r="T69" i="2" s="1" a="1"/>
  <c r="T69" i="2" s="1"/>
  <c r="R85" i="2"/>
  <c r="T85" i="2" s="1" a="1"/>
  <c r="T85" i="2" s="1"/>
  <c r="Q85" i="2"/>
  <c r="S85" i="2" s="1" a="1"/>
  <c r="S85" i="2" s="1"/>
  <c r="Q81" i="2"/>
  <c r="S81" i="2" s="1" a="1"/>
  <c r="S81" i="2" s="1"/>
  <c r="Q69" i="2"/>
  <c r="S69" i="2" s="1" a="1"/>
  <c r="S69" i="2" s="1"/>
  <c r="R77" i="2"/>
  <c r="T77" i="2" s="1" a="1"/>
  <c r="T77" i="2" s="1"/>
  <c r="R73" i="2"/>
  <c r="T73" i="2" s="1" a="1"/>
  <c r="T73" i="2" s="1"/>
  <c r="Q65" i="2"/>
  <c r="S65" i="2" s="1" a="1"/>
  <c r="S65" i="2" s="1"/>
  <c r="Q77" i="2"/>
  <c r="S77" i="2" s="1" a="1"/>
  <c r="S77" i="2" s="1"/>
  <c r="Q73" i="2"/>
  <c r="S73" i="2" s="1" a="1"/>
  <c r="S73" i="2" s="1"/>
  <c r="R81" i="2"/>
  <c r="T81" i="2" s="1" a="1"/>
  <c r="T81" i="2" s="1"/>
  <c r="Q61" i="2"/>
  <c r="S61" i="2" s="1" a="1"/>
  <c r="S61" i="2" s="1"/>
  <c r="R65" i="2"/>
  <c r="T65" i="2" s="1" a="1"/>
  <c r="T65" i="2" s="1"/>
  <c r="R61" i="2"/>
  <c r="T61" i="2" s="1" a="1"/>
  <c r="T61" i="2" s="1"/>
  <c r="L41" i="2"/>
  <c r="N41" i="2" s="1" a="1"/>
  <c r="N41" i="2" s="1"/>
  <c r="R30" i="2"/>
  <c r="T30" i="2" s="1" a="1"/>
  <c r="T30" i="2" s="1"/>
  <c r="Q43" i="2"/>
  <c r="S43" i="2" s="1" a="1"/>
  <c r="S43" i="2" s="1"/>
  <c r="M43" i="2"/>
  <c r="O43" i="2" s="1" a="1"/>
  <c r="O43" i="2" s="1"/>
  <c r="Q33" i="2"/>
  <c r="S33" i="2" s="1" a="1"/>
  <c r="S33" i="2" s="1"/>
  <c r="M47" i="2"/>
  <c r="O47" i="2" s="1" a="1"/>
  <c r="O47" i="2" s="1"/>
  <c r="R54" i="2"/>
  <c r="T54" i="2" s="1" a="1"/>
  <c r="T54" i="2" s="1"/>
  <c r="R45" i="2"/>
  <c r="T45" i="2" s="1" a="1"/>
  <c r="T45" i="2" s="1"/>
  <c r="M33" i="2"/>
  <c r="O33" i="2" s="1" a="1"/>
  <c r="O33" i="2" s="1"/>
  <c r="L34" i="2"/>
  <c r="N34" i="2" s="1" a="1"/>
  <c r="N34" i="2" s="1"/>
  <c r="M30" i="2"/>
  <c r="O30" i="2" s="1" a="1"/>
  <c r="O30" i="2" s="1"/>
  <c r="R46" i="2"/>
  <c r="T46" i="2" s="1" a="1"/>
  <c r="T46" i="2" s="1"/>
  <c r="Q36" i="2"/>
  <c r="S36" i="2" s="1" a="1"/>
  <c r="S36" i="2" s="1"/>
  <c r="Q50" i="2"/>
  <c r="S50" i="2" s="1" a="1"/>
  <c r="S50" i="2" s="1"/>
  <c r="R32" i="2"/>
  <c r="T32" i="2" s="1" a="1"/>
  <c r="T32" i="2" s="1"/>
  <c r="M48" i="2"/>
  <c r="O48" i="2" s="1" a="1"/>
  <c r="O48" i="2" s="1"/>
  <c r="Q46" i="2"/>
  <c r="S46" i="2" s="1" a="1"/>
  <c r="S46" i="2" s="1"/>
  <c r="Q48" i="2"/>
  <c r="S48" i="2" s="1" a="1"/>
  <c r="S48" i="2" s="1"/>
  <c r="R31" i="2"/>
  <c r="T31" i="2" s="1" a="1"/>
  <c r="T31" i="2" s="1"/>
  <c r="M37" i="2"/>
  <c r="O37" i="2" s="1" a="1"/>
  <c r="O37" i="2" s="1"/>
  <c r="Q57" i="2"/>
  <c r="S57" i="2" s="1" a="1"/>
  <c r="S57" i="2" s="1"/>
  <c r="M42" i="2"/>
  <c r="O42" i="2" s="1" a="1"/>
  <c r="O42" i="2" s="1"/>
  <c r="L57" i="2"/>
  <c r="N57" i="2" s="1" a="1"/>
  <c r="N57" i="2" s="1"/>
  <c r="Q39" i="2"/>
  <c r="S39" i="2" s="1" a="1"/>
  <c r="S39" i="2" s="1"/>
  <c r="Q51" i="2"/>
  <c r="S51" i="2" s="1" a="1"/>
  <c r="S51" i="2" s="1"/>
  <c r="M52" i="2"/>
  <c r="O52" i="2" s="1" a="1"/>
  <c r="O52" i="2" s="1"/>
  <c r="R41" i="2"/>
  <c r="T41" i="2" s="1" a="1"/>
  <c r="T41" i="2" s="1"/>
  <c r="M36" i="2"/>
  <c r="O36" i="2" s="1" a="1"/>
  <c r="O36" i="2" s="1"/>
  <c r="M32" i="2"/>
  <c r="O32" i="2" s="1" a="1"/>
  <c r="O32" i="2" s="1"/>
  <c r="L35" i="2"/>
  <c r="N35" i="2" s="1" a="1"/>
  <c r="N35" i="2" s="1"/>
  <c r="L38" i="2"/>
  <c r="N38" i="2" s="1" a="1"/>
  <c r="N38" i="2" s="1"/>
  <c r="L51" i="2"/>
  <c r="N51" i="2" s="1" a="1"/>
  <c r="N51" i="2" s="1"/>
  <c r="R42" i="2"/>
  <c r="T42" i="2" s="1" a="1"/>
  <c r="T42" i="2" s="1"/>
  <c r="L42" i="2"/>
  <c r="N42" i="2" s="1" a="1"/>
  <c r="N42" i="2" s="1"/>
  <c r="L31" i="2"/>
  <c r="N31" i="2" s="1" a="1"/>
  <c r="N31" i="2" s="1"/>
  <c r="L30" i="2"/>
  <c r="N30" i="2" s="1" a="1"/>
  <c r="N30" i="2" s="1"/>
  <c r="Q54" i="2"/>
  <c r="S54" i="2" s="1" a="1"/>
  <c r="S54" i="2" s="1"/>
  <c r="M49" i="2"/>
  <c r="O49" i="2" s="1" a="1"/>
  <c r="O49" i="2" s="1"/>
  <c r="M40" i="2"/>
  <c r="O40" i="2" s="1" a="1"/>
  <c r="O40" i="2" s="1"/>
  <c r="R55" i="2"/>
  <c r="T55" i="2" s="1" a="1"/>
  <c r="T55" i="2" s="1"/>
  <c r="M56" i="2"/>
  <c r="O56" i="2" s="1" a="1"/>
  <c r="O56" i="2" s="1"/>
  <c r="L36" i="2"/>
  <c r="N36" i="2" s="1" a="1"/>
  <c r="N36" i="2" s="1"/>
  <c r="Q31" i="2"/>
  <c r="S31" i="2" s="1" a="1"/>
  <c r="S31" i="2" s="1"/>
  <c r="R36" i="2"/>
  <c r="T36" i="2" s="1" a="1"/>
  <c r="T36" i="2" s="1"/>
  <c r="L33" i="2"/>
  <c r="N33" i="2" s="1" a="1"/>
  <c r="N33" i="2" s="1"/>
  <c r="R50" i="2"/>
  <c r="T50" i="2" s="1" a="1"/>
  <c r="T50" i="2" s="1"/>
  <c r="L43" i="2"/>
  <c r="N43" i="2" s="1" a="1"/>
  <c r="N43" i="2" s="1"/>
  <c r="Q32" i="2"/>
  <c r="S32" i="2" s="1" a="1"/>
  <c r="S32" i="2" s="1"/>
  <c r="R51" i="2"/>
  <c r="T51" i="2" s="1" a="1"/>
  <c r="T51" i="2" s="1"/>
  <c r="Q42" i="2"/>
  <c r="S42" i="2" s="1" a="1"/>
  <c r="S42" i="2" s="1"/>
  <c r="Q41" i="2"/>
  <c r="S41" i="2" s="1" a="1"/>
  <c r="S41" i="2" s="1"/>
  <c r="Q30" i="2"/>
  <c r="S30" i="2" s="1" a="1"/>
  <c r="S30" i="2" s="1"/>
  <c r="L48" i="2"/>
  <c r="N48" i="2" s="1" a="1"/>
  <c r="N48" i="2" s="1"/>
  <c r="L37" i="2"/>
  <c r="N37" i="2" s="1" a="1"/>
  <c r="N37" i="2" s="1"/>
  <c r="R57" i="2"/>
  <c r="T57" i="2" s="1" a="1"/>
  <c r="T57" i="2" s="1"/>
  <c r="Q45" i="2"/>
  <c r="S45" i="2" s="1" a="1"/>
  <c r="S45" i="2" s="1"/>
  <c r="R35" i="2"/>
  <c r="T35" i="2" s="1" a="1"/>
  <c r="T35" i="2" s="1"/>
  <c r="M34" i="2"/>
  <c r="O34" i="2" s="1" a="1"/>
  <c r="O34" i="2" s="1"/>
  <c r="R44" i="2"/>
  <c r="T44" i="2" s="1" a="1"/>
  <c r="T44" i="2" s="1"/>
  <c r="L53" i="2"/>
  <c r="N53" i="2" s="1" a="1"/>
  <c r="N53" i="2" s="1"/>
  <c r="R48" i="2"/>
  <c r="T48" i="2" s="1" a="1"/>
  <c r="T48" i="2" s="1"/>
  <c r="L47" i="2"/>
  <c r="N47" i="2" s="1" a="1"/>
  <c r="N47" i="2" s="1"/>
  <c r="R43" i="2"/>
  <c r="T43" i="2" s="1" a="1"/>
  <c r="T43" i="2" s="1"/>
  <c r="Q35" i="2"/>
  <c r="S35" i="2" s="1" a="1"/>
  <c r="S35" i="2" s="1"/>
  <c r="R33" i="2"/>
  <c r="T33" i="2" s="1" a="1"/>
  <c r="T33" i="2" s="1"/>
  <c r="M50" i="2"/>
  <c r="O50" i="2" s="1" a="1"/>
  <c r="O50" i="2" s="1"/>
  <c r="Q38" i="2"/>
  <c r="S38" i="2" s="1" a="1"/>
  <c r="S38" i="2" s="1"/>
  <c r="M39" i="2"/>
  <c r="O39" i="2" s="1" a="1"/>
  <c r="O39" i="2" s="1"/>
  <c r="M54" i="2"/>
  <c r="O54" i="2" s="1" a="1"/>
  <c r="O54" i="2" s="1"/>
  <c r="L46" i="2"/>
  <c r="N46" i="2" s="1" a="1"/>
  <c r="N46" i="2" s="1"/>
  <c r="Q47" i="2"/>
  <c r="S47" i="2" s="1" a="1"/>
  <c r="S47" i="2" s="1"/>
  <c r="R38" i="2"/>
  <c r="T38" i="2" s="1" a="1"/>
  <c r="T38" i="2" s="1"/>
  <c r="L39" i="2"/>
  <c r="N39" i="2" s="1" a="1"/>
  <c r="N39" i="2" s="1"/>
  <c r="L54" i="2"/>
  <c r="N54" i="2" s="1" a="1"/>
  <c r="N54" i="2" s="1"/>
  <c r="M46" i="2"/>
  <c r="O46" i="2" s="1" a="1"/>
  <c r="O46" i="2" s="1"/>
  <c r="L56" i="2"/>
  <c r="N56" i="2" s="1" a="1"/>
  <c r="N56" i="2" s="1"/>
  <c r="L32" i="2"/>
  <c r="N32" i="2" s="1" a="1"/>
  <c r="N32" i="2" s="1"/>
  <c r="M41" i="2"/>
  <c r="O41" i="2" s="1" a="1"/>
  <c r="O41" i="2" s="1"/>
  <c r="L52" i="2"/>
  <c r="N52" i="2" s="1" a="1"/>
  <c r="N52" i="2" s="1"/>
  <c r="R39" i="2"/>
  <c r="T39" i="2" s="1" a="1"/>
  <c r="T39" i="2" s="1"/>
  <c r="M38" i="2"/>
  <c r="O38" i="2" s="1" a="1"/>
  <c r="O38" i="2" s="1"/>
  <c r="M51" i="2"/>
  <c r="O51" i="2" s="1" a="1"/>
  <c r="O51" i="2" s="1"/>
  <c r="R47" i="2"/>
  <c r="T47" i="2" s="1" a="1"/>
  <c r="T47" i="2" s="1"/>
  <c r="M31" i="2"/>
  <c r="O31" i="2" s="1" a="1"/>
  <c r="O31" i="2" s="1"/>
  <c r="L50" i="2"/>
  <c r="N50" i="2" s="1" a="1"/>
  <c r="N50" i="2" s="1"/>
  <c r="L55" i="2"/>
  <c r="N55" i="2" s="1" a="1"/>
  <c r="N55" i="2" s="1"/>
  <c r="Q56" i="2"/>
  <c r="S56" i="2" s="1" a="1"/>
  <c r="S56" i="2" s="1"/>
  <c r="M55" i="2"/>
  <c r="O55" i="2" s="1" a="1"/>
  <c r="O55" i="2" s="1"/>
  <c r="M57" i="2"/>
  <c r="O57" i="2" s="1" a="1"/>
  <c r="O57" i="2" s="1"/>
  <c r="M35" i="2"/>
  <c r="O35" i="2" s="1" a="1"/>
  <c r="O35" i="2" s="1"/>
  <c r="Q55" i="2"/>
  <c r="S55" i="2" s="1" a="1"/>
  <c r="S55" i="2" s="1"/>
  <c r="R40" i="2"/>
  <c r="T40" i="2" s="1" a="1"/>
  <c r="T40" i="2" s="1"/>
  <c r="Q40" i="2"/>
  <c r="S40" i="2" s="1" a="1"/>
  <c r="S40" i="2" s="1"/>
  <c r="R56" i="2"/>
  <c r="T56" i="2" s="1" a="1"/>
  <c r="T56" i="2" s="1"/>
  <c r="L45" i="2"/>
  <c r="N45" i="2" s="1" a="1"/>
  <c r="N45" i="2" s="1"/>
  <c r="Q49" i="2"/>
  <c r="S49" i="2" s="1" a="1"/>
  <c r="S49" i="2" s="1"/>
  <c r="L40" i="2"/>
  <c r="N40" i="2" s="1" a="1"/>
  <c r="N40" i="2" s="1"/>
  <c r="R37" i="2"/>
  <c r="T37" i="2" s="1" a="1"/>
  <c r="T37" i="2" s="1"/>
  <c r="L49" i="2"/>
  <c r="N49" i="2" s="1" a="1"/>
  <c r="N49" i="2" s="1"/>
  <c r="M45" i="2"/>
  <c r="O45" i="2" s="1" a="1"/>
  <c r="O45" i="2" s="1"/>
  <c r="R49" i="2"/>
  <c r="T49" i="2" s="1" a="1"/>
  <c r="T49" i="2" s="1"/>
  <c r="Q37" i="2"/>
  <c r="S37" i="2" s="1" a="1"/>
  <c r="S37" i="2" s="1"/>
  <c r="L44" i="2"/>
  <c r="N44" i="2" s="1" a="1"/>
  <c r="N44" i="2" s="1"/>
  <c r="Q34" i="2"/>
  <c r="S34" i="2" s="1" a="1"/>
  <c r="S34" i="2" s="1"/>
  <c r="Q53" i="2"/>
  <c r="S53" i="2" s="1" a="1"/>
  <c r="S53" i="2" s="1"/>
  <c r="R52" i="2"/>
  <c r="T52" i="2" s="1" a="1"/>
  <c r="T52" i="2" s="1"/>
  <c r="M44" i="2"/>
  <c r="O44" i="2" s="1" a="1"/>
  <c r="O44" i="2" s="1"/>
  <c r="R34" i="2"/>
  <c r="T34" i="2" s="1" a="1"/>
  <c r="T34" i="2" s="1"/>
  <c r="R53" i="2"/>
  <c r="T53" i="2" s="1" a="1"/>
  <c r="T53" i="2" s="1"/>
  <c r="Q52" i="2"/>
  <c r="S52" i="2" s="1" a="1"/>
  <c r="S52" i="2" s="1"/>
  <c r="M53" i="2"/>
  <c r="O53" i="2" s="1" a="1"/>
  <c r="O53" i="2" s="1"/>
  <c r="Q44" i="2"/>
  <c r="S44" i="2" s="1" a="1"/>
  <c r="S44" i="2" s="1"/>
  <c r="M7" i="2"/>
  <c r="Q7" i="2"/>
  <c r="S7" i="2" s="1" a="1"/>
  <c r="S7" i="2" s="1"/>
  <c r="L7" i="2"/>
  <c r="N7" i="2" s="1" a="1"/>
  <c r="N7" i="2" s="1"/>
  <c r="R7" i="2"/>
  <c r="M13" i="2"/>
  <c r="Q13" i="2"/>
  <c r="S13" i="2" s="1" a="1"/>
  <c r="S13" i="2" s="1"/>
  <c r="R13" i="2"/>
  <c r="L13" i="2"/>
  <c r="N13" i="2" s="1" a="1"/>
  <c r="N13" i="2" s="1"/>
  <c r="R26" i="2"/>
  <c r="R23" i="2"/>
  <c r="R29" i="2"/>
  <c r="R15" i="2"/>
  <c r="R19" i="2"/>
  <c r="R27" i="2"/>
  <c r="Q22" i="2"/>
  <c r="S22" i="2" s="1" a="1"/>
  <c r="S22" i="2" s="1"/>
  <c r="R22" i="2"/>
  <c r="R14" i="2"/>
  <c r="R10" i="2"/>
  <c r="R8" i="2"/>
  <c r="R12" i="2"/>
  <c r="R17" i="2"/>
  <c r="R25" i="2"/>
  <c r="R11" i="2"/>
  <c r="R5" i="2"/>
  <c r="R16" i="2"/>
  <c r="R24" i="2"/>
  <c r="R4" i="2"/>
  <c r="R3" i="2"/>
  <c r="R9" i="2"/>
  <c r="R20" i="2"/>
  <c r="R2" i="2"/>
  <c r="R28" i="2"/>
  <c r="R18" i="2"/>
  <c r="R21" i="2"/>
  <c r="R6" i="2"/>
  <c r="Q29" i="2"/>
  <c r="S29" i="2" s="1" a="1"/>
  <c r="S29" i="2" s="1"/>
  <c r="Q15" i="2"/>
  <c r="S15" i="2" s="1" a="1"/>
  <c r="S15" i="2" s="1"/>
  <c r="Q19" i="2"/>
  <c r="S19" i="2" s="1" a="1"/>
  <c r="S19" i="2" s="1"/>
  <c r="Q27" i="2"/>
  <c r="S27" i="2" s="1" a="1"/>
  <c r="S27" i="2" s="1"/>
  <c r="Q26" i="2"/>
  <c r="S26" i="2" s="1" a="1"/>
  <c r="S26" i="2" s="1"/>
  <c r="Q23" i="2"/>
  <c r="S23" i="2" s="1" a="1"/>
  <c r="S23" i="2" s="1"/>
  <c r="Q12" i="2"/>
  <c r="S12" i="2" s="1" a="1"/>
  <c r="S12" i="2" s="1"/>
  <c r="Q17" i="2"/>
  <c r="S17" i="2" s="1" a="1"/>
  <c r="S17" i="2" s="1"/>
  <c r="Q8" i="2"/>
  <c r="S8" i="2" s="1" a="1"/>
  <c r="S8" i="2" s="1"/>
  <c r="Q25" i="2"/>
  <c r="S25" i="2" s="1" a="1"/>
  <c r="S25" i="2" s="1"/>
  <c r="Q11" i="2"/>
  <c r="S11" i="2" s="1" a="1"/>
  <c r="S11" i="2" s="1"/>
  <c r="Q5" i="2"/>
  <c r="S5" i="2" s="1" a="1"/>
  <c r="S5" i="2" s="1"/>
  <c r="Q16" i="2"/>
  <c r="S16" i="2" s="1" a="1"/>
  <c r="S16" i="2" s="1"/>
  <c r="Q14" i="2"/>
  <c r="S14" i="2" s="1" a="1"/>
  <c r="S14" i="2" s="1"/>
  <c r="Q24" i="2"/>
  <c r="S24" i="2" s="1" a="1"/>
  <c r="S24" i="2" s="1"/>
  <c r="Q4" i="2"/>
  <c r="S4" i="2" s="1" a="1"/>
  <c r="S4" i="2" s="1"/>
  <c r="Q3" i="2"/>
  <c r="S3" i="2" s="1" a="1"/>
  <c r="S3" i="2" s="1"/>
  <c r="Q9" i="2"/>
  <c r="S9" i="2" s="1" a="1"/>
  <c r="S9" i="2" s="1"/>
  <c r="Q20" i="2"/>
  <c r="S20" i="2" s="1" a="1"/>
  <c r="S20" i="2" s="1"/>
  <c r="Q10" i="2"/>
  <c r="S10" i="2" s="1" a="1"/>
  <c r="S10" i="2" s="1"/>
  <c r="Q2" i="2"/>
  <c r="S2" i="2" s="1" a="1"/>
  <c r="S2" i="2" s="1"/>
  <c r="Q28" i="2"/>
  <c r="S28" i="2" s="1" a="1"/>
  <c r="S28" i="2" s="1"/>
  <c r="Q18" i="2"/>
  <c r="S18" i="2" s="1" a="1"/>
  <c r="S18" i="2" s="1"/>
  <c r="Q21" i="2"/>
  <c r="S21" i="2" s="1" a="1"/>
  <c r="S21" i="2" s="1"/>
  <c r="Q6" i="2"/>
  <c r="S6" i="2" s="1" a="1"/>
  <c r="S6" i="2" s="1"/>
  <c r="L29" i="2"/>
  <c r="N29" i="2" s="1" a="1"/>
  <c r="N29" i="2" s="1"/>
  <c r="M29" i="2"/>
  <c r="M15" i="2"/>
  <c r="M19" i="2"/>
  <c r="M27" i="2"/>
  <c r="M22" i="2"/>
  <c r="M14" i="2"/>
  <c r="M10" i="2"/>
  <c r="M8" i="2"/>
  <c r="L26" i="2"/>
  <c r="N26" i="2" s="1" a="1"/>
  <c r="N26" i="2" s="1"/>
  <c r="M26" i="2"/>
  <c r="M23" i="2"/>
  <c r="M12" i="2"/>
  <c r="M17" i="2"/>
  <c r="M25" i="2"/>
  <c r="M11" i="2"/>
  <c r="M5" i="2"/>
  <c r="M16" i="2"/>
  <c r="M24" i="2"/>
  <c r="M4" i="2"/>
  <c r="M3" i="2"/>
  <c r="M9" i="2"/>
  <c r="M20" i="2"/>
  <c r="M2" i="2"/>
  <c r="M28" i="2"/>
  <c r="M18" i="2"/>
  <c r="M21" i="2"/>
  <c r="M6" i="2"/>
  <c r="L15" i="2"/>
  <c r="N15" i="2" s="1" a="1"/>
  <c r="N15" i="2" s="1"/>
  <c r="L19" i="2"/>
  <c r="N19" i="2" s="1" a="1"/>
  <c r="N19" i="2" s="1"/>
  <c r="L27" i="2"/>
  <c r="N27" i="2" s="1" a="1"/>
  <c r="N27" i="2" s="1"/>
  <c r="L22" i="2"/>
  <c r="N22" i="2" s="1" a="1"/>
  <c r="N22" i="2" s="1"/>
  <c r="L14" i="2"/>
  <c r="N14" i="2" s="1" a="1"/>
  <c r="N14" i="2" s="1"/>
  <c r="L10" i="2"/>
  <c r="N10" i="2" s="1" a="1"/>
  <c r="N10" i="2" s="1"/>
  <c r="L8" i="2"/>
  <c r="N8" i="2" s="1" a="1"/>
  <c r="N8" i="2" s="1"/>
  <c r="L23" i="2"/>
  <c r="N23" i="2" s="1" a="1"/>
  <c r="N23" i="2" s="1"/>
  <c r="L12" i="2"/>
  <c r="N12" i="2" s="1" a="1"/>
  <c r="N12" i="2" s="1"/>
  <c r="L17" i="2"/>
  <c r="N17" i="2" s="1" a="1"/>
  <c r="N17" i="2" s="1"/>
  <c r="L25" i="2"/>
  <c r="N25" i="2" s="1" a="1"/>
  <c r="N25" i="2" s="1"/>
  <c r="L11" i="2"/>
  <c r="N11" i="2" s="1" a="1"/>
  <c r="N11" i="2" s="1"/>
  <c r="L5" i="2"/>
  <c r="N5" i="2" s="1" a="1"/>
  <c r="N5" i="2" s="1"/>
  <c r="L16" i="2"/>
  <c r="N16" i="2" s="1" a="1"/>
  <c r="N16" i="2" s="1"/>
  <c r="L24" i="2"/>
  <c r="N24" i="2" s="1" a="1"/>
  <c r="N24" i="2" s="1"/>
  <c r="L4" i="2"/>
  <c r="N4" i="2" s="1" a="1"/>
  <c r="N4" i="2" s="1"/>
  <c r="L3" i="2"/>
  <c r="N3" i="2" s="1" a="1"/>
  <c r="N3" i="2" s="1"/>
  <c r="L9" i="2"/>
  <c r="N9" i="2" s="1" a="1"/>
  <c r="N9" i="2" s="1"/>
  <c r="L20" i="2"/>
  <c r="N20" i="2" s="1" a="1"/>
  <c r="N20" i="2" s="1"/>
  <c r="L2" i="2"/>
  <c r="N2" i="2" s="1" a="1"/>
  <c r="N2" i="2" s="1"/>
  <c r="L28" i="2"/>
  <c r="N28" i="2" s="1" a="1"/>
  <c r="N28" i="2" s="1"/>
  <c r="L18" i="2"/>
  <c r="N18" i="2" s="1" a="1"/>
  <c r="N18" i="2" s="1"/>
  <c r="L21" i="2"/>
  <c r="N21" i="2" s="1" a="1"/>
  <c r="N21" i="2" s="1"/>
  <c r="L6" i="2"/>
  <c r="N6" i="2" s="1" a="1"/>
  <c r="N6" i="2" s="1"/>
  <c r="W77" i="2" l="1" a="1"/>
  <c r="W77" i="2" s="1"/>
  <c r="U77" i="2" a="1"/>
  <c r="U77" i="2" s="1"/>
  <c r="V75" i="2" a="1"/>
  <c r="V75" i="2" s="1"/>
  <c r="X75" i="2" a="1"/>
  <c r="X75" i="2" s="1"/>
  <c r="V83" i="2" a="1"/>
  <c r="V83" i="2" s="1"/>
  <c r="X83" i="2" a="1"/>
  <c r="X83" i="2" s="1"/>
  <c r="U64" i="2" a="1"/>
  <c r="U64" i="2" s="1"/>
  <c r="W64" i="2" a="1"/>
  <c r="W64" i="2" s="1"/>
  <c r="U58" i="2" a="1"/>
  <c r="U58" i="2" s="1"/>
  <c r="W58" i="2" a="1"/>
  <c r="W58" i="2" s="1"/>
  <c r="W73" i="2" a="1"/>
  <c r="W73" i="2" s="1"/>
  <c r="U73" i="2" a="1"/>
  <c r="U73" i="2" s="1"/>
  <c r="V65" i="2" a="1"/>
  <c r="V65" i="2" s="1"/>
  <c r="X65" i="2" a="1"/>
  <c r="X65" i="2" s="1"/>
  <c r="X69" i="2" a="1"/>
  <c r="X69" i="2" s="1"/>
  <c r="V69" i="2" a="1"/>
  <c r="V69" i="2" s="1"/>
  <c r="U85" i="2" a="1"/>
  <c r="U85" i="2" s="1"/>
  <c r="W85" i="2" a="1"/>
  <c r="W85" i="2" s="1"/>
  <c r="U63" i="2" a="1"/>
  <c r="U63" i="2" s="1"/>
  <c r="W63" i="2" a="1"/>
  <c r="W63" i="2" s="1"/>
  <c r="V79" i="2" a="1"/>
  <c r="V79" i="2" s="1"/>
  <c r="X79" i="2" a="1"/>
  <c r="X79" i="2" s="1"/>
  <c r="V59" i="2" a="1"/>
  <c r="V59" i="2" s="1"/>
  <c r="X59" i="2" a="1"/>
  <c r="X59" i="2" s="1"/>
  <c r="U71" i="2" a="1"/>
  <c r="U71" i="2" s="1"/>
  <c r="W71" i="2" a="1"/>
  <c r="W71" i="2" s="1"/>
  <c r="U83" i="2" a="1"/>
  <c r="U83" i="2" s="1"/>
  <c r="W83" i="2" a="1"/>
  <c r="W83" i="2" s="1"/>
  <c r="V78" i="2" a="1"/>
  <c r="V78" i="2" s="1"/>
  <c r="X78" i="2" a="1"/>
  <c r="X78" i="2" s="1"/>
  <c r="V84" i="2" a="1"/>
  <c r="V84" i="2" s="1"/>
  <c r="X84" i="2" a="1"/>
  <c r="X84" i="2" s="1"/>
  <c r="V74" i="2" a="1"/>
  <c r="V74" i="2" s="1"/>
  <c r="X74" i="2" a="1"/>
  <c r="X74" i="2" s="1"/>
  <c r="U84" i="2" a="1"/>
  <c r="U84" i="2" s="1"/>
  <c r="W84" i="2" a="1"/>
  <c r="W84" i="2" s="1"/>
  <c r="V64" i="2" a="1"/>
  <c r="V64" i="2" s="1"/>
  <c r="X64" i="2" a="1"/>
  <c r="X64" i="2" s="1"/>
  <c r="V73" i="2" a="1"/>
  <c r="V73" i="2" s="1"/>
  <c r="X73" i="2" a="1"/>
  <c r="X73" i="2" s="1"/>
  <c r="W81" i="2" a="1"/>
  <c r="W81" i="2" s="1"/>
  <c r="U81" i="2" a="1"/>
  <c r="U81" i="2" s="1"/>
  <c r="X71" i="2" a="1"/>
  <c r="X71" i="2" s="1"/>
  <c r="V71" i="2" a="1"/>
  <c r="V71" i="2" s="1"/>
  <c r="U82" i="2" a="1"/>
  <c r="U82" i="2" s="1"/>
  <c r="W82" i="2" a="1"/>
  <c r="W82" i="2" s="1"/>
  <c r="U66" i="2" a="1"/>
  <c r="U66" i="2" s="1"/>
  <c r="W66" i="2" a="1"/>
  <c r="W66" i="2" s="1"/>
  <c r="U61" i="2" a="1"/>
  <c r="U61" i="2" s="1"/>
  <c r="W61" i="2" a="1"/>
  <c r="W61" i="2" s="1"/>
  <c r="X81" i="2" a="1"/>
  <c r="X81" i="2" s="1"/>
  <c r="V81" i="2" a="1"/>
  <c r="V81" i="2" s="1"/>
  <c r="V77" i="2" a="1"/>
  <c r="V77" i="2" s="1"/>
  <c r="X77" i="2" a="1"/>
  <c r="X77" i="2" s="1"/>
  <c r="V63" i="2" a="1"/>
  <c r="V63" i="2" s="1"/>
  <c r="X63" i="2" a="1"/>
  <c r="X63" i="2" s="1"/>
  <c r="V67" i="2" a="1"/>
  <c r="V67" i="2" s="1"/>
  <c r="X67" i="2" a="1"/>
  <c r="X67" i="2" s="1"/>
  <c r="V70" i="2" a="1"/>
  <c r="V70" i="2" s="1"/>
  <c r="X70" i="2" a="1"/>
  <c r="X70" i="2" s="1"/>
  <c r="U67" i="2" a="1"/>
  <c r="U67" i="2" s="1"/>
  <c r="W67" i="2" a="1"/>
  <c r="W67" i="2" s="1"/>
  <c r="U59" i="2" a="1"/>
  <c r="U59" i="2" s="1"/>
  <c r="W59" i="2" a="1"/>
  <c r="W59" i="2" s="1"/>
  <c r="V66" i="2" a="1"/>
  <c r="V66" i="2" s="1"/>
  <c r="X66" i="2" a="1"/>
  <c r="X66" i="2" s="1"/>
  <c r="V62" i="2" a="1"/>
  <c r="V62" i="2" s="1"/>
  <c r="X62" i="2" a="1"/>
  <c r="X62" i="2" s="1"/>
  <c r="V76" i="2" a="1"/>
  <c r="V76" i="2" s="1"/>
  <c r="X76" i="2" a="1"/>
  <c r="X76" i="2" s="1"/>
  <c r="V68" i="2" a="1"/>
  <c r="V68" i="2" s="1"/>
  <c r="X68" i="2" a="1"/>
  <c r="X68" i="2" s="1"/>
  <c r="U68" i="2" a="1"/>
  <c r="U68" i="2" s="1"/>
  <c r="W68" i="2" a="1"/>
  <c r="W68" i="2" s="1"/>
  <c r="U76" i="2" a="1"/>
  <c r="U76" i="2" s="1"/>
  <c r="W76" i="2" a="1"/>
  <c r="W76" i="2" s="1"/>
  <c r="X61" i="2" a="1"/>
  <c r="X61" i="2" s="1"/>
  <c r="V61" i="2" a="1"/>
  <c r="V61" i="2" s="1"/>
  <c r="U70" i="2" a="1"/>
  <c r="U70" i="2" s="1"/>
  <c r="W70" i="2" a="1"/>
  <c r="W70" i="2" s="1"/>
  <c r="U62" i="2" a="1"/>
  <c r="U62" i="2" s="1"/>
  <c r="W62" i="2" a="1"/>
  <c r="W62" i="2" s="1"/>
  <c r="V72" i="2" a="1"/>
  <c r="V72" i="2" s="1"/>
  <c r="X72" i="2" a="1"/>
  <c r="X72" i="2" s="1"/>
  <c r="U69" i="2" a="1"/>
  <c r="U69" i="2" s="1"/>
  <c r="W69" i="2" a="1"/>
  <c r="W69" i="2" s="1"/>
  <c r="V85" i="2" a="1"/>
  <c r="V85" i="2" s="1"/>
  <c r="X85" i="2" a="1"/>
  <c r="X85" i="2" s="1"/>
  <c r="W65" i="2" a="1"/>
  <c r="W65" i="2" s="1"/>
  <c r="U65" i="2" a="1"/>
  <c r="U65" i="2" s="1"/>
  <c r="U78" i="2" a="1"/>
  <c r="U78" i="2" s="1"/>
  <c r="W78" i="2" a="1"/>
  <c r="W78" i="2" s="1"/>
  <c r="W75" i="2" a="1"/>
  <c r="W75" i="2" s="1"/>
  <c r="U75" i="2" a="1"/>
  <c r="U75" i="2" s="1"/>
  <c r="U79" i="2" a="1"/>
  <c r="U79" i="2" s="1"/>
  <c r="W79" i="2" a="1"/>
  <c r="W79" i="2" s="1"/>
  <c r="V58" i="2" a="1"/>
  <c r="V58" i="2" s="1"/>
  <c r="X58" i="2" a="1"/>
  <c r="X58" i="2" s="1"/>
  <c r="V82" i="2" a="1"/>
  <c r="V82" i="2" s="1"/>
  <c r="X82" i="2" a="1"/>
  <c r="X82" i="2" s="1"/>
  <c r="V80" i="2" a="1"/>
  <c r="V80" i="2" s="1"/>
  <c r="X80" i="2" a="1"/>
  <c r="X80" i="2" s="1"/>
  <c r="U80" i="2" a="1"/>
  <c r="U80" i="2" s="1"/>
  <c r="W80" i="2" a="1"/>
  <c r="W80" i="2" s="1"/>
  <c r="V60" i="2" a="1"/>
  <c r="V60" i="2" s="1"/>
  <c r="X60" i="2" a="1"/>
  <c r="X60" i="2" s="1"/>
  <c r="U74" i="2" a="1"/>
  <c r="U74" i="2" s="1"/>
  <c r="W74" i="2" a="1"/>
  <c r="W74" i="2" s="1"/>
  <c r="U72" i="2" a="1"/>
  <c r="U72" i="2" s="1"/>
  <c r="W72" i="2" a="1"/>
  <c r="W72" i="2" s="1"/>
  <c r="U60" i="2" a="1"/>
  <c r="U60" i="2" s="1"/>
  <c r="W60" i="2" a="1"/>
  <c r="W60" i="2" s="1"/>
  <c r="V41" i="2" a="1"/>
  <c r="V41" i="2" s="1"/>
  <c r="X41" i="2" a="1"/>
  <c r="X41" i="2" s="1"/>
  <c r="V47" i="2" a="1"/>
  <c r="V47" i="2" s="1"/>
  <c r="X47" i="2" a="1"/>
  <c r="X47" i="2" s="1"/>
  <c r="X44" i="2" a="1"/>
  <c r="X44" i="2" s="1"/>
  <c r="V44" i="2" a="1"/>
  <c r="V44" i="2" s="1"/>
  <c r="X57" i="2" a="1"/>
  <c r="X57" i="2" s="1"/>
  <c r="V57" i="2" a="1"/>
  <c r="V57" i="2" s="1"/>
  <c r="X56" i="2" a="1"/>
  <c r="X56" i="2" s="1"/>
  <c r="V56" i="2" a="1"/>
  <c r="V56" i="2" s="1"/>
  <c r="X32" i="2" a="1"/>
  <c r="X32" i="2" s="1"/>
  <c r="V32" i="2" a="1"/>
  <c r="V32" i="2" s="1"/>
  <c r="X30" i="2" a="1"/>
  <c r="X30" i="2" s="1"/>
  <c r="V30" i="2" a="1"/>
  <c r="V30" i="2" s="1"/>
  <c r="X50" i="2" a="1"/>
  <c r="X50" i="2" s="1"/>
  <c r="V50" i="2" a="1"/>
  <c r="V50" i="2" s="1"/>
  <c r="X45" i="2" a="1"/>
  <c r="X45" i="2" s="1"/>
  <c r="V45" i="2" a="1"/>
  <c r="V45" i="2" s="1"/>
  <c r="X55" i="2" a="1"/>
  <c r="X55" i="2" s="1"/>
  <c r="V55" i="2" a="1"/>
  <c r="V55" i="2" s="1"/>
  <c r="X51" i="2" a="1"/>
  <c r="X51" i="2" s="1"/>
  <c r="V51" i="2" a="1"/>
  <c r="V51" i="2" s="1"/>
  <c r="X34" i="2" a="1"/>
  <c r="X34" i="2" s="1"/>
  <c r="V34" i="2" a="1"/>
  <c r="V34" i="2" s="1"/>
  <c r="X36" i="2" a="1"/>
  <c r="X36" i="2" s="1"/>
  <c r="V36" i="2" a="1"/>
  <c r="V36" i="2" s="1"/>
  <c r="V42" i="2" a="1"/>
  <c r="V42" i="2" s="1"/>
  <c r="X42" i="2" a="1"/>
  <c r="X42" i="2" s="1"/>
  <c r="X48" i="2" a="1"/>
  <c r="X48" i="2" s="1"/>
  <c r="V48" i="2" a="1"/>
  <c r="V48" i="2" s="1"/>
  <c r="X43" i="2" a="1"/>
  <c r="X43" i="2" s="1"/>
  <c r="V43" i="2" a="1"/>
  <c r="V43" i="2" s="1"/>
  <c r="X53" i="2" a="1"/>
  <c r="X53" i="2" s="1"/>
  <c r="V53" i="2" a="1"/>
  <c r="V53" i="2" s="1"/>
  <c r="X38" i="2" a="1"/>
  <c r="X38" i="2" s="1"/>
  <c r="V38" i="2" a="1"/>
  <c r="V38" i="2" s="1"/>
  <c r="X46" i="2" a="1"/>
  <c r="X46" i="2" s="1"/>
  <c r="V46" i="2" a="1"/>
  <c r="V46" i="2" s="1"/>
  <c r="V54" i="2" a="1"/>
  <c r="V54" i="2" s="1"/>
  <c r="X54" i="2" a="1"/>
  <c r="X54" i="2" s="1"/>
  <c r="V40" i="2" a="1"/>
  <c r="V40" i="2" s="1"/>
  <c r="X40" i="2" a="1"/>
  <c r="X40" i="2" s="1"/>
  <c r="X33" i="2" a="1"/>
  <c r="X33" i="2" s="1"/>
  <c r="V33" i="2" a="1"/>
  <c r="V33" i="2" s="1"/>
  <c r="V35" i="2" a="1"/>
  <c r="V35" i="2" s="1"/>
  <c r="X35" i="2" a="1"/>
  <c r="X35" i="2" s="1"/>
  <c r="X39" i="2" a="1"/>
  <c r="X39" i="2" s="1"/>
  <c r="V39" i="2" a="1"/>
  <c r="V39" i="2" s="1"/>
  <c r="X49" i="2" a="1"/>
  <c r="X49" i="2" s="1"/>
  <c r="V49" i="2" a="1"/>
  <c r="V49" i="2" s="1"/>
  <c r="X52" i="2" a="1"/>
  <c r="X52" i="2" s="1"/>
  <c r="V52" i="2" a="1"/>
  <c r="V52" i="2" s="1"/>
  <c r="V37" i="2" a="1"/>
  <c r="V37" i="2" s="1"/>
  <c r="X37" i="2" a="1"/>
  <c r="X37" i="2" s="1"/>
  <c r="X31" i="2" a="1"/>
  <c r="X31" i="2" s="1"/>
  <c r="V31" i="2" a="1"/>
  <c r="V31" i="2" s="1"/>
  <c r="W47" i="2" a="1"/>
  <c r="W47" i="2" s="1"/>
  <c r="W44" i="2" a="1"/>
  <c r="W44" i="2" s="1"/>
  <c r="U38" i="2" a="1"/>
  <c r="U38" i="2" s="1"/>
  <c r="W53" i="2" a="1"/>
  <c r="W53" i="2" s="1"/>
  <c r="W32" i="2" a="1"/>
  <c r="W32" i="2" s="1"/>
  <c r="W42" i="2" a="1"/>
  <c r="W42" i="2" s="1"/>
  <c r="W48" i="2" a="1"/>
  <c r="W48" i="2" s="1"/>
  <c r="U43" i="2" a="1"/>
  <c r="U43" i="2" s="1"/>
  <c r="W33" i="2" a="1"/>
  <c r="W33" i="2" s="1"/>
  <c r="U41" i="2" a="1"/>
  <c r="U41" i="2" s="1"/>
  <c r="W51" i="2" a="1"/>
  <c r="W51" i="2" s="1"/>
  <c r="U40" i="2" a="1"/>
  <c r="U40" i="2" s="1"/>
  <c r="U45" i="2" a="1"/>
  <c r="U45" i="2" s="1"/>
  <c r="U39" i="2" a="1"/>
  <c r="U39" i="2" s="1"/>
  <c r="W35" i="2" a="1"/>
  <c r="W35" i="2" s="1"/>
  <c r="U49" i="2" a="1"/>
  <c r="U49" i="2" s="1"/>
  <c r="U44" i="2" a="1"/>
  <c r="U44" i="2" s="1"/>
  <c r="W56" i="2" a="1"/>
  <c r="W56" i="2" s="1"/>
  <c r="W46" i="2" a="1"/>
  <c r="W46" i="2" s="1"/>
  <c r="U35" i="2" a="1"/>
  <c r="U35" i="2" s="1"/>
  <c r="U30" i="2" a="1"/>
  <c r="U30" i="2" s="1"/>
  <c r="U50" i="2" a="1"/>
  <c r="U50" i="2" s="1"/>
  <c r="W57" i="2" a="1"/>
  <c r="W57" i="2" s="1"/>
  <c r="W30" i="2" a="1"/>
  <c r="W30" i="2" s="1"/>
  <c r="U56" i="2" a="1"/>
  <c r="U56" i="2" s="1"/>
  <c r="W41" i="2" a="1"/>
  <c r="W41" i="2" s="1"/>
  <c r="U54" i="2" a="1"/>
  <c r="U54" i="2" s="1"/>
  <c r="U46" i="2" a="1"/>
  <c r="U46" i="2" s="1"/>
  <c r="W37" i="2" a="1"/>
  <c r="W37" i="2" s="1"/>
  <c r="W39" i="2" a="1"/>
  <c r="W39" i="2" s="1"/>
  <c r="U51" i="2" a="1"/>
  <c r="U51" i="2" s="1"/>
  <c r="W43" i="2" a="1"/>
  <c r="W43" i="2" s="1"/>
  <c r="U47" i="2" a="1"/>
  <c r="U47" i="2" s="1"/>
  <c r="U57" i="2" a="1"/>
  <c r="U57" i="2" s="1"/>
  <c r="U37" i="2" a="1"/>
  <c r="U37" i="2" s="1"/>
  <c r="W55" i="2" a="1"/>
  <c r="W55" i="2" s="1"/>
  <c r="W36" i="2" a="1"/>
  <c r="W36" i="2" s="1"/>
  <c r="W31" i="2" a="1"/>
  <c r="W31" i="2" s="1"/>
  <c r="U32" i="2" a="1"/>
  <c r="U32" i="2" s="1"/>
  <c r="U33" i="2" a="1"/>
  <c r="U33" i="2" s="1"/>
  <c r="U53" i="2" a="1"/>
  <c r="U53" i="2" s="1"/>
  <c r="U55" i="2" a="1"/>
  <c r="U55" i="2" s="1"/>
  <c r="U36" i="2" a="1"/>
  <c r="U36" i="2" s="1"/>
  <c r="U31" i="2" a="1"/>
  <c r="U31" i="2" s="1"/>
  <c r="W49" i="2" a="1"/>
  <c r="W49" i="2" s="1"/>
  <c r="W40" i="2" a="1"/>
  <c r="W40" i="2" s="1"/>
  <c r="W54" i="2" a="1"/>
  <c r="W54" i="2" s="1"/>
  <c r="U42" i="2" a="1"/>
  <c r="U42" i="2" s="1"/>
  <c r="W38" i="2" a="1"/>
  <c r="W38" i="2" s="1"/>
  <c r="U48" i="2" a="1"/>
  <c r="U48" i="2" s="1"/>
  <c r="W45" i="2" a="1"/>
  <c r="W45" i="2" s="1"/>
  <c r="U52" i="2" a="1"/>
  <c r="U52" i="2" s="1"/>
  <c r="W34" i="2" a="1"/>
  <c r="W34" i="2" s="1"/>
  <c r="W50" i="2" a="1"/>
  <c r="W50" i="2" s="1"/>
  <c r="W52" i="2" a="1"/>
  <c r="W52" i="2" s="1"/>
  <c r="U34" i="2" a="1"/>
  <c r="U34" i="2" s="1"/>
  <c r="W7" i="2" a="1"/>
  <c r="W7" i="2" s="1"/>
  <c r="U7" i="2" a="1"/>
  <c r="U7" i="2" s="1"/>
  <c r="W6" i="2" a="1"/>
  <c r="W6" i="2" s="1"/>
  <c r="W21" i="2" a="1"/>
  <c r="W21" i="2" s="1"/>
  <c r="W18" i="2" a="1"/>
  <c r="W18" i="2" s="1"/>
  <c r="W9" i="2" a="1"/>
  <c r="W9" i="2" s="1"/>
  <c r="W11" i="2" a="1"/>
  <c r="W11" i="2" s="1"/>
  <c r="W10" i="2" a="1"/>
  <c r="W10" i="2" s="1"/>
  <c r="W26" i="2" a="1"/>
  <c r="W26" i="2" s="1"/>
  <c r="W3" i="2" a="1"/>
  <c r="W3" i="2" s="1"/>
  <c r="W25" i="2" a="1"/>
  <c r="W25" i="2" s="1"/>
  <c r="W14" i="2" a="1"/>
  <c r="W14" i="2" s="1"/>
  <c r="W4" i="2" a="1"/>
  <c r="W4" i="2" s="1"/>
  <c r="W17" i="2" a="1"/>
  <c r="W17" i="2" s="1"/>
  <c r="W22" i="2" a="1"/>
  <c r="W22" i="2" s="1"/>
  <c r="W13" i="2" a="1"/>
  <c r="W13" i="2" s="1"/>
  <c r="W24" i="2" a="1"/>
  <c r="W24" i="2" s="1"/>
  <c r="W12" i="2" a="1"/>
  <c r="W12" i="2" s="1"/>
  <c r="W27" i="2" a="1"/>
  <c r="W27" i="2" s="1"/>
  <c r="W29" i="2" a="1"/>
  <c r="W29" i="2" s="1"/>
  <c r="W28" i="2" a="1"/>
  <c r="W28" i="2" s="1"/>
  <c r="W2" i="2" a="1"/>
  <c r="W2" i="2" s="1"/>
  <c r="W16" i="2" a="1"/>
  <c r="W16" i="2" s="1"/>
  <c r="W23" i="2" a="1"/>
  <c r="W23" i="2" s="1"/>
  <c r="W19" i="2" a="1"/>
  <c r="W19" i="2" s="1"/>
  <c r="W20" i="2" a="1"/>
  <c r="W20" i="2" s="1"/>
  <c r="W5" i="2" a="1"/>
  <c r="W5" i="2" s="1"/>
  <c r="W8" i="2" a="1"/>
  <c r="W8" i="2" s="1"/>
  <c r="W15" i="2" a="1"/>
  <c r="W15" i="2" s="1"/>
  <c r="U6" i="2" a="1"/>
  <c r="U6" i="2" s="1"/>
  <c r="U21" i="2" a="1"/>
  <c r="U21" i="2" s="1"/>
  <c r="U18" i="2" a="1"/>
  <c r="U18" i="2" s="1"/>
  <c r="U9" i="2" a="1"/>
  <c r="U9" i="2" s="1"/>
  <c r="U11" i="2" a="1"/>
  <c r="U11" i="2" s="1"/>
  <c r="U10" i="2" a="1"/>
  <c r="U10" i="2" s="1"/>
  <c r="U26" i="2" a="1"/>
  <c r="U26" i="2" s="1"/>
  <c r="U3" i="2" a="1"/>
  <c r="U3" i="2" s="1"/>
  <c r="U25" i="2" a="1"/>
  <c r="U25" i="2" s="1"/>
  <c r="U14" i="2" a="1"/>
  <c r="U14" i="2" s="1"/>
  <c r="U4" i="2" a="1"/>
  <c r="U4" i="2" s="1"/>
  <c r="U17" i="2" a="1"/>
  <c r="U17" i="2" s="1"/>
  <c r="U22" i="2" a="1"/>
  <c r="U22" i="2" s="1"/>
  <c r="U13" i="2" a="1"/>
  <c r="U13" i="2" s="1"/>
  <c r="U24" i="2" a="1"/>
  <c r="U24" i="2" s="1"/>
  <c r="U12" i="2" a="1"/>
  <c r="U12" i="2" s="1"/>
  <c r="U27" i="2" a="1"/>
  <c r="U27" i="2" s="1"/>
  <c r="U29" i="2" a="1"/>
  <c r="U29" i="2" s="1"/>
  <c r="U2" i="2" a="1"/>
  <c r="U2" i="2" s="1"/>
  <c r="U16" i="2" a="1"/>
  <c r="U16" i="2" s="1"/>
  <c r="U23" i="2" a="1"/>
  <c r="U23" i="2" s="1"/>
  <c r="U19" i="2" a="1"/>
  <c r="U19" i="2" s="1"/>
  <c r="U28" i="2" a="1"/>
  <c r="U28" i="2" s="1"/>
  <c r="U20" i="2" a="1"/>
  <c r="U20" i="2" s="1"/>
  <c r="U5" i="2" a="1"/>
  <c r="U5" i="2" s="1"/>
  <c r="U8" i="2" a="1"/>
  <c r="U8" i="2" s="1"/>
  <c r="U15" i="2" a="1"/>
  <c r="U15" i="2" s="1"/>
  <c r="H78" i="2" l="1"/>
  <c r="H68" i="2"/>
  <c r="I76" i="2"/>
  <c r="I66" i="2"/>
  <c r="H67" i="2"/>
  <c r="H83" i="2"/>
  <c r="I59" i="2"/>
  <c r="H63" i="2"/>
  <c r="I81" i="2"/>
  <c r="H65" i="2"/>
  <c r="H66" i="2"/>
  <c r="H84" i="2"/>
  <c r="I84" i="2"/>
  <c r="H73" i="2"/>
  <c r="H60" i="2"/>
  <c r="H74" i="2"/>
  <c r="H79" i="2"/>
  <c r="I85" i="2"/>
  <c r="I72" i="2"/>
  <c r="I70" i="2"/>
  <c r="I65" i="2"/>
  <c r="H58" i="2"/>
  <c r="I83" i="2"/>
  <c r="H72" i="2"/>
  <c r="I60" i="2"/>
  <c r="I80" i="2"/>
  <c r="I58" i="2"/>
  <c r="H75" i="2"/>
  <c r="H70" i="2"/>
  <c r="H76" i="2"/>
  <c r="I62" i="2"/>
  <c r="H59" i="2"/>
  <c r="H61" i="2"/>
  <c r="H82" i="2"/>
  <c r="I64" i="2"/>
  <c r="I78" i="2"/>
  <c r="H71" i="2"/>
  <c r="I75" i="2"/>
  <c r="I82" i="2"/>
  <c r="H62" i="2"/>
  <c r="I63" i="2"/>
  <c r="I71" i="2"/>
  <c r="H80" i="2"/>
  <c r="H69" i="2"/>
  <c r="I68" i="2"/>
  <c r="I67" i="2"/>
  <c r="I77" i="2"/>
  <c r="I73" i="2"/>
  <c r="I79" i="2"/>
  <c r="H85" i="2"/>
  <c r="H64" i="2"/>
  <c r="I61" i="2"/>
  <c r="H81" i="2"/>
  <c r="I74" i="2"/>
  <c r="I69" i="2"/>
  <c r="H77" i="2"/>
  <c r="I51" i="2"/>
  <c r="H38" i="2"/>
  <c r="I33" i="2"/>
  <c r="I36" i="2"/>
  <c r="I31" i="2"/>
  <c r="I32" i="2"/>
  <c r="H21" i="2"/>
  <c r="H53" i="2"/>
  <c r="H34" i="2"/>
  <c r="H47" i="2"/>
  <c r="H25" i="2"/>
  <c r="H24" i="2"/>
  <c r="H2" i="2"/>
  <c r="H15" i="2"/>
  <c r="H10" i="2"/>
  <c r="H6" i="2"/>
  <c r="H28" i="2"/>
  <c r="H27" i="2"/>
  <c r="H3" i="2"/>
  <c r="H35" i="2"/>
  <c r="H56" i="2"/>
  <c r="H39" i="2"/>
  <c r="H57" i="2"/>
  <c r="H55" i="2"/>
  <c r="H4" i="2"/>
  <c r="H33" i="2"/>
  <c r="H17" i="2"/>
  <c r="H14" i="2"/>
  <c r="H31" i="2"/>
  <c r="H20" i="2"/>
  <c r="H23" i="2"/>
  <c r="H18" i="2"/>
  <c r="H7" i="2"/>
  <c r="H42" i="2"/>
  <c r="H36" i="2"/>
  <c r="H49" i="2"/>
  <c r="H16" i="2"/>
  <c r="H13" i="2"/>
  <c r="H52" i="2"/>
  <c r="H32" i="2"/>
  <c r="H30" i="2"/>
  <c r="I42" i="2"/>
  <c r="H22" i="2"/>
  <c r="H26" i="2"/>
  <c r="H41" i="2"/>
  <c r="H5" i="2"/>
  <c r="H29" i="2"/>
  <c r="H46" i="2"/>
  <c r="H50" i="2"/>
  <c r="H45" i="2"/>
  <c r="H8" i="2"/>
  <c r="H11" i="2"/>
  <c r="H48" i="2"/>
  <c r="H43" i="2"/>
  <c r="H19" i="2"/>
  <c r="H12" i="2"/>
  <c r="H9" i="2"/>
  <c r="H37" i="2"/>
  <c r="H51" i="2"/>
  <c r="H54" i="2"/>
  <c r="H44" i="2"/>
  <c r="H40" i="2"/>
  <c r="I41" i="2"/>
  <c r="I48" i="2"/>
  <c r="I53" i="2"/>
  <c r="I40" i="2"/>
  <c r="I52" i="2"/>
  <c r="I55" i="2"/>
  <c r="I45" i="2"/>
  <c r="I46" i="2"/>
  <c r="I56" i="2"/>
  <c r="I34" i="2"/>
  <c r="I54" i="2"/>
  <c r="I39" i="2"/>
  <c r="I30" i="2"/>
  <c r="I57" i="2"/>
  <c r="I50" i="2"/>
  <c r="I49" i="2"/>
  <c r="I43" i="2"/>
  <c r="I47" i="2"/>
  <c r="I38" i="2"/>
  <c r="I35" i="2"/>
  <c r="I44" i="2"/>
  <c r="I37" i="2"/>
  <c r="O17" i="2" l="1" a="1"/>
  <c r="O17" i="2" s="1"/>
  <c r="O13" i="2" a="1"/>
  <c r="O13" i="2" s="1"/>
  <c r="O4" i="2" a="1"/>
  <c r="O4" i="2" s="1"/>
  <c r="O25" i="2" a="1"/>
  <c r="O25" i="2" s="1"/>
  <c r="O10" i="2" a="1"/>
  <c r="O10" i="2" s="1"/>
  <c r="O2" i="2" a="1"/>
  <c r="O2" i="2" s="1"/>
  <c r="O5" i="2" a="1"/>
  <c r="O5" i="2" s="1"/>
  <c r="O15" i="2" a="1"/>
  <c r="O15" i="2" s="1"/>
  <c r="O11" i="2" a="1"/>
  <c r="O11" i="2" s="1"/>
  <c r="O12" i="2" a="1"/>
  <c r="O12" i="2" s="1"/>
  <c r="O8" i="2" a="1"/>
  <c r="O8" i="2" s="1"/>
  <c r="O23" i="2" a="1"/>
  <c r="O23" i="2" s="1"/>
  <c r="O9" i="2" a="1"/>
  <c r="O9" i="2" s="1"/>
  <c r="O27" i="2" a="1"/>
  <c r="O27" i="2" s="1"/>
  <c r="O3" i="2" a="1"/>
  <c r="O3" i="2" s="1"/>
  <c r="O26" i="2" a="1"/>
  <c r="O26" i="2" s="1"/>
  <c r="O21" i="2" a="1"/>
  <c r="O21" i="2" s="1"/>
  <c r="O14" i="2" a="1"/>
  <c r="O14" i="2" s="1"/>
  <c r="O22" i="2" a="1"/>
  <c r="O22" i="2" s="1"/>
  <c r="O20" i="2" a="1"/>
  <c r="O20" i="2" s="1"/>
  <c r="O6" i="2" a="1"/>
  <c r="O6" i="2" s="1"/>
  <c r="O29" i="2" a="1"/>
  <c r="O29" i="2" s="1"/>
  <c r="O24" i="2" a="1"/>
  <c r="O24" i="2" s="1"/>
  <c r="O19" i="2" a="1"/>
  <c r="O19" i="2" s="1"/>
  <c r="O28" i="2" a="1"/>
  <c r="O28" i="2" s="1"/>
  <c r="O18" i="2" a="1"/>
  <c r="O18" i="2" s="1"/>
  <c r="O16" i="2" a="1"/>
  <c r="O16" i="2" s="1"/>
  <c r="O7" i="2" a="1"/>
  <c r="O7" i="2" s="1"/>
  <c r="T22" i="2" a="1"/>
  <c r="T22" i="2" s="1"/>
  <c r="T16" i="2" a="1"/>
  <c r="T16" i="2" s="1"/>
  <c r="T13" i="2" a="1"/>
  <c r="T13" i="2" s="1"/>
  <c r="T21" i="2" a="1"/>
  <c r="T21" i="2" s="1"/>
  <c r="T3" i="2" a="1"/>
  <c r="T3" i="2" s="1"/>
  <c r="T17" i="2" a="1"/>
  <c r="T17" i="2" s="1"/>
  <c r="T5" i="2" a="1"/>
  <c r="T5" i="2" s="1"/>
  <c r="T9" i="2" a="1"/>
  <c r="T9" i="2" s="1"/>
  <c r="L2" i="5"/>
  <c r="T4" i="2" a="1"/>
  <c r="T4" i="2" s="1"/>
  <c r="T26" i="2" a="1"/>
  <c r="T26" i="2" s="1"/>
  <c r="T6" i="2" a="1"/>
  <c r="T6" i="2" s="1"/>
  <c r="T15" i="2" a="1"/>
  <c r="T15" i="2" s="1"/>
  <c r="T14" i="2" a="1"/>
  <c r="T14" i="2" s="1"/>
  <c r="T7" i="2" a="1"/>
  <c r="T7" i="2" s="1"/>
  <c r="T18" i="2" a="1"/>
  <c r="T18" i="2" s="1"/>
  <c r="T24" i="2" a="1"/>
  <c r="T24" i="2" s="1"/>
  <c r="T29" i="2" a="1"/>
  <c r="T29" i="2" s="1"/>
  <c r="T19" i="2" a="1"/>
  <c r="T19" i="2" s="1"/>
  <c r="T25" i="2" a="1"/>
  <c r="T25" i="2" s="1"/>
  <c r="T12" i="2" a="1"/>
  <c r="T12" i="2" s="1"/>
  <c r="T20" i="2" a="1"/>
  <c r="T20" i="2" s="1"/>
  <c r="T27" i="2" a="1"/>
  <c r="T27" i="2" s="1"/>
  <c r="T23" i="2" a="1"/>
  <c r="T23" i="2" s="1"/>
  <c r="T28" i="2" a="1"/>
  <c r="T28" i="2" s="1"/>
  <c r="T10" i="2" a="1"/>
  <c r="T10" i="2" s="1"/>
  <c r="T11" i="2" a="1"/>
  <c r="T11" i="2" s="1"/>
  <c r="T2" i="2" l="1" a="1"/>
  <c r="T2" i="2" s="1"/>
  <c r="T8" i="2" a="1"/>
  <c r="T8" i="2" s="1"/>
  <c r="M2" i="5"/>
  <c r="I2" i="6" a="1"/>
  <c r="I2" i="6" s="1"/>
  <c r="L2" i="6" s="1"/>
  <c r="X9" i="2" l="1" a="1"/>
  <c r="X9" i="2" s="1"/>
  <c r="X25" i="2" a="1"/>
  <c r="X25" i="2" s="1"/>
  <c r="X29" i="2" a="1"/>
  <c r="X29" i="2" s="1"/>
  <c r="V12" i="2" a="1"/>
  <c r="V12" i="2" s="1"/>
  <c r="X28" i="2" a="1"/>
  <c r="X28" i="2" s="1"/>
  <c r="X4" i="2" a="1"/>
  <c r="X4" i="2" s="1"/>
  <c r="V5" i="2" a="1"/>
  <c r="V5" i="2" s="1"/>
  <c r="X18" i="2" a="1"/>
  <c r="X18" i="2" s="1"/>
  <c r="V9" i="2" a="1"/>
  <c r="V9" i="2" s="1"/>
  <c r="X13" i="2" a="1"/>
  <c r="X13" i="2" s="1"/>
  <c r="X11" i="2" a="1"/>
  <c r="X11" i="2" s="1"/>
  <c r="X7" i="2" a="1"/>
  <c r="X7" i="2" s="1"/>
  <c r="X15" i="2" a="1"/>
  <c r="X15" i="2" s="1"/>
  <c r="V6" i="2" a="1"/>
  <c r="V6" i="2" s="1"/>
  <c r="V10" i="2" a="1"/>
  <c r="V10" i="2" s="1"/>
  <c r="V20" i="2" a="1"/>
  <c r="V20" i="2" s="1"/>
  <c r="V16" i="2" a="1"/>
  <c r="V16" i="2" s="1"/>
  <c r="X21" i="2" a="1"/>
  <c r="X21" i="2" s="1"/>
  <c r="V18" i="2" a="1"/>
  <c r="V18" i="2" s="1"/>
  <c r="X10" i="2" a="1"/>
  <c r="X10" i="2" s="1"/>
  <c r="V11" i="2" a="1"/>
  <c r="V11" i="2" s="1"/>
  <c r="X16" i="2" a="1"/>
  <c r="X16" i="2" s="1"/>
  <c r="X12" i="2" a="1"/>
  <c r="X12" i="2" s="1"/>
  <c r="V7" i="2" a="1"/>
  <c r="V7" i="2" s="1"/>
  <c r="I7" i="2" s="1"/>
  <c r="V21" i="2" a="1"/>
  <c r="V21" i="2" s="1"/>
  <c r="X17" i="2" a="1"/>
  <c r="X17" i="2" s="1"/>
  <c r="X22" i="2" a="1"/>
  <c r="X22" i="2" s="1"/>
  <c r="X14" i="2" a="1"/>
  <c r="X14" i="2" s="1"/>
  <c r="X27" i="2" a="1"/>
  <c r="X27" i="2" s="1"/>
  <c r="V2" i="2" a="1"/>
  <c r="V2" i="2" s="1"/>
  <c r="V3" i="2" a="1"/>
  <c r="V3" i="2" s="1"/>
  <c r="V23" i="2" a="1"/>
  <c r="V23" i="2" s="1"/>
  <c r="X26" i="2" a="1"/>
  <c r="X26" i="2" s="1"/>
  <c r="X19" i="2" a="1"/>
  <c r="X19" i="2" s="1"/>
  <c r="X24" i="2" a="1"/>
  <c r="X24" i="2" s="1"/>
  <c r="V15" i="2" a="1"/>
  <c r="V15" i="2" s="1"/>
  <c r="V17" i="2" a="1"/>
  <c r="V17" i="2" s="1"/>
  <c r="V22" i="2" a="1"/>
  <c r="V22" i="2" s="1"/>
  <c r="V14" i="2" a="1"/>
  <c r="V14" i="2" s="1"/>
  <c r="V27" i="2" a="1"/>
  <c r="V27" i="2" s="1"/>
  <c r="X2" i="2" a="1"/>
  <c r="X2" i="2" s="1"/>
  <c r="X3" i="2" a="1"/>
  <c r="X3" i="2" s="1"/>
  <c r="X23" i="2" a="1"/>
  <c r="X23" i="2" s="1"/>
  <c r="V26" i="2" a="1"/>
  <c r="V26" i="2" s="1"/>
  <c r="V19" i="2" a="1"/>
  <c r="V19" i="2" s="1"/>
  <c r="V24" i="2" a="1"/>
  <c r="V24" i="2" s="1"/>
  <c r="X5" i="2" a="1"/>
  <c r="X5" i="2" s="1"/>
  <c r="V28" i="2" a="1"/>
  <c r="V28" i="2" s="1"/>
  <c r="I28" i="2" s="1"/>
  <c r="V13" i="2" a="1"/>
  <c r="V13" i="2" s="1"/>
  <c r="X20" i="2" a="1"/>
  <c r="X20" i="2" s="1"/>
  <c r="V4" i="2" a="1"/>
  <c r="V4" i="2" s="1"/>
  <c r="X6" i="2" a="1"/>
  <c r="X6" i="2" s="1"/>
  <c r="V25" i="2" a="1"/>
  <c r="V25" i="2" s="1"/>
  <c r="V29" i="2" a="1"/>
  <c r="V29" i="2" s="1"/>
  <c r="V8" i="2" a="1"/>
  <c r="V8" i="2" s="1"/>
  <c r="X8" i="2" a="1"/>
  <c r="X8" i="2" s="1"/>
  <c r="I12" i="2" l="1"/>
  <c r="I20" i="2"/>
  <c r="I29" i="2"/>
  <c r="I9" i="2"/>
  <c r="I10" i="2"/>
  <c r="I16" i="2"/>
  <c r="I4" i="2"/>
  <c r="I11" i="2"/>
  <c r="I18" i="2"/>
  <c r="I15" i="2"/>
  <c r="I13" i="2"/>
  <c r="I25" i="2"/>
  <c r="I5" i="2"/>
  <c r="I19" i="2"/>
  <c r="I14" i="2"/>
  <c r="I24" i="2"/>
  <c r="I21" i="2"/>
  <c r="I6" i="2"/>
  <c r="I22" i="2"/>
  <c r="I8" i="2"/>
  <c r="I23" i="2"/>
  <c r="I17" i="2"/>
  <c r="I3" i="2"/>
  <c r="I2" i="2"/>
  <c r="I27" i="2"/>
  <c r="I2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<sst xmlns="http://schemas.openxmlformats.org/spreadsheetml/2006/main" count="802" uniqueCount="140">
  <si>
    <t>Country</t>
  </si>
  <si>
    <t>Subject Descriptor</t>
  </si>
  <si>
    <t>Units</t>
  </si>
  <si>
    <t>Scale</t>
  </si>
  <si>
    <t>Country/Series-specific Notes</t>
  </si>
  <si>
    <t>Estimates Start After</t>
  </si>
  <si>
    <t>Gross domestic product, current prices</t>
  </si>
  <si>
    <t>Billions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</si>
  <si>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</si>
  <si>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</si>
  <si>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</si>
  <si>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</si>
  <si>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</si>
  <si>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</si>
  <si>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</si>
  <si>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</si>
  <si>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</si>
  <si>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</si>
  <si>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</si>
  <si>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</si>
  <si>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Iceland</t>
  </si>
  <si>
    <t>Ireland</t>
  </si>
  <si>
    <t>Italy</t>
  </si>
  <si>
    <t>Lithuania</t>
  </si>
  <si>
    <t>Luxembourg</t>
  </si>
  <si>
    <t>Malta</t>
  </si>
  <si>
    <t>Netherlands</t>
  </si>
  <si>
    <t>Norway</t>
  </si>
  <si>
    <t>Portugal</t>
  </si>
  <si>
    <t>Romania</t>
  </si>
  <si>
    <t>Slovak Republic</t>
  </si>
  <si>
    <t>Slovenia</t>
  </si>
  <si>
    <t>Spain</t>
  </si>
  <si>
    <t>Sweden</t>
  </si>
  <si>
    <t>Switzerland</t>
  </si>
  <si>
    <t>United Kingdom</t>
  </si>
  <si>
    <t>Year</t>
  </si>
  <si>
    <t>Year-5</t>
  </si>
  <si>
    <t>Year-4</t>
  </si>
  <si>
    <t>Year-3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</si>
  <si>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</si>
  <si>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</si>
  <si>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</si>
  <si>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</si>
  <si>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</si>
  <si>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</si>
  <si>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</si>
  <si>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</si>
  <si>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</si>
  <si>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GERMANY</t>
  </si>
  <si>
    <t>GREECE</t>
  </si>
  <si>
    <t>ICELAND</t>
  </si>
  <si>
    <t>IRELAND</t>
  </si>
  <si>
    <t>ITALY</t>
  </si>
  <si>
    <t>LITHUANIA</t>
  </si>
  <si>
    <t>LUXEMBOURG</t>
  </si>
  <si>
    <t>MALTA</t>
  </si>
  <si>
    <t>NETHERLANDS</t>
  </si>
  <si>
    <t>NORWAY</t>
  </si>
  <si>
    <t>PORTUGAL</t>
  </si>
  <si>
    <t>ROMANIA</t>
  </si>
  <si>
    <t>SLOVENIA</t>
  </si>
  <si>
    <t>SPAIN</t>
  </si>
  <si>
    <t>SWEDEN</t>
  </si>
  <si>
    <t>SWITZERLAND</t>
  </si>
  <si>
    <t>UNITED KINGDOM</t>
  </si>
  <si>
    <t>State</t>
  </si>
  <si>
    <t>ESF</t>
  </si>
  <si>
    <t>GDP_3Years</t>
  </si>
  <si>
    <t>UID</t>
  </si>
  <si>
    <t>ESF_Budget</t>
  </si>
  <si>
    <t>CSF_Budget</t>
  </si>
  <si>
    <t>CSFe</t>
  </si>
  <si>
    <t>ESFe</t>
  </si>
  <si>
    <t>CSF</t>
  </si>
  <si>
    <t>HD_Budget</t>
  </si>
  <si>
    <t>Budget</t>
  </si>
  <si>
    <t>Grand Total</t>
  </si>
  <si>
    <t>Balance</t>
  </si>
  <si>
    <t>SLOVAKIA</t>
  </si>
  <si>
    <t>Slovakia</t>
  </si>
  <si>
    <t>CSF%Budget</t>
  </si>
  <si>
    <t>CSF%Actual</t>
  </si>
  <si>
    <t>CSFBudget</t>
  </si>
  <si>
    <t>ESF%Budget</t>
  </si>
  <si>
    <t>ESFBudget</t>
  </si>
  <si>
    <t>ESF%Actual</t>
  </si>
  <si>
    <t>HDBudget</t>
  </si>
  <si>
    <t>Budget_Year</t>
  </si>
  <si>
    <t>Report Date</t>
  </si>
  <si>
    <t>Start Year (Y-5)</t>
  </si>
  <si>
    <t>End Year (Y-3</t>
  </si>
  <si>
    <t>U.S. dollars</t>
  </si>
  <si>
    <t>See notes for:  Gross domestic product, current prices (National currency).</t>
  </si>
  <si>
    <t>STATE_UPPER</t>
  </si>
  <si>
    <t>CO2_Year</t>
  </si>
  <si>
    <t>ESF_CO2_TONNES</t>
  </si>
  <si>
    <t>CSF_SET_CO2_TONNES</t>
  </si>
  <si>
    <t>ESFActual</t>
  </si>
  <si>
    <t>CSFActual</t>
  </si>
  <si>
    <t>HDActual</t>
  </si>
  <si>
    <t>RFD_Budget</t>
  </si>
  <si>
    <t>RFDBudget</t>
  </si>
  <si>
    <t>RFDActual</t>
  </si>
  <si>
    <t>Actual_Year</t>
  </si>
  <si>
    <t>Query</t>
  </si>
  <si>
    <t>Extract_Date</t>
  </si>
  <si>
    <t>Maximum</t>
  </si>
  <si>
    <t>HD Cost 5.4(b)</t>
  </si>
  <si>
    <t>CSF Cost 5.4(b)</t>
  </si>
  <si>
    <t>ESF Cost 5.4(b)</t>
  </si>
  <si>
    <t>RFD Cost 5.4(b)</t>
  </si>
  <si>
    <t>Total Cost 5.10(a)</t>
  </si>
  <si>
    <t>Deduction 5.5 5.10(b)</t>
  </si>
  <si>
    <t>Deduction 5.6 5.10(c)</t>
  </si>
  <si>
    <t>Addition 5.5 5.10(d)</t>
  </si>
  <si>
    <t>Addition 5.6 5.10(e)</t>
  </si>
  <si>
    <t>Deduction 5.7 5.10(f)</t>
  </si>
  <si>
    <t>Payment Request 5.10</t>
  </si>
  <si>
    <t>TCost &gt; Budget 5.5</t>
  </si>
  <si>
    <t>Payment Request (rounded)</t>
  </si>
  <si>
    <t>5.10 (a+b+d+e+f) &gt; State Max 5.6</t>
  </si>
  <si>
    <t>Cost &gt; 1.1*Budget (5.7)</t>
  </si>
  <si>
    <t>Approved Budget (5.2)</t>
  </si>
  <si>
    <t>SNUID</t>
  </si>
  <si>
    <t>GDP_State</t>
  </si>
  <si>
    <t>CO2_State</t>
  </si>
  <si>
    <t>CheckStateName</t>
  </si>
  <si>
    <t>HD_Cost_5.4b</t>
  </si>
  <si>
    <t>CSF_Cost_5.4b</t>
  </si>
  <si>
    <t>ESF_Cost_5.4b</t>
  </si>
  <si>
    <t>RFD_Cost_5.4b</t>
  </si>
  <si>
    <t>_Costs cockpit EMIS 20240117.xlsx</t>
  </si>
  <si>
    <t>Cost submitted to SG (5.4(a))</t>
  </si>
  <si>
    <t>Source_Cost_5.4</t>
  </si>
  <si>
    <t>Cost_5.4a</t>
  </si>
  <si>
    <t>EMIS_State</t>
  </si>
  <si>
    <t>EMIS AGREEMENT STATES CO2 - 20240116.SQL</t>
  </si>
  <si>
    <t>CZECHIA</t>
  </si>
  <si>
    <t>Budget        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</si>
</sst>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mmm\-yyyy"/>
    <numFmt numFmtId="165" formatCode="#,##0.000"/>
    <numFmt numFmtId="166" formatCode="#,##0.00_ ;[Red]\-#,##0.00\ "/>
    <numFmt numFmtId="167" formatCode="#,##0.0000"/>
    <numFmt numFmtId="168" formatCode="[Red]&quot;Yes&quot;;;&quot;No&quot;"/>
    <numFmt numFmtId="169" formatCode="#,##0.000_ ;[Red]\-#,##0.000\ "/>
    <numFmt numFmtId="170" formatCode="#,##0.000_ ;\-#,##0.0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theme="0" tint="-0.499984740745262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6" fillId="4" borderId="0" applyNumberFormat="0" applyBorder="0" applyAlignment="0" applyProtection="0"/>
  </cellStyleXfs>
  <cellXfs count="53">
    <xf numFmtId="0" fontId="0" fillId="0" borderId="0" xfId="0"/>
    <xf numFmtId="0" fontId="3" fillId="3" borderId="1" xfId="3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3" borderId="1" xfId="3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0" fontId="0" fillId="0" borderId="0" xfId="1" applyNumberFormat="1" applyFont="1"/>
    <xf numFmtId="43" fontId="0" fillId="0" borderId="0" xfId="0" applyNumberFormat="1"/>
    <xf numFmtId="43" fontId="3" fillId="3" borderId="1" xfId="3" applyNumberFormat="1"/>
    <xf numFmtId="166" fontId="0" fillId="0" borderId="0" xfId="0" applyNumberFormat="1"/>
    <xf numFmtId="3" fontId="0" fillId="0" borderId="0" xfId="0" applyNumberFormat="1"/>
    <xf numFmtId="0" fontId="3" fillId="3" borderId="1" xfId="3" applyNumberFormat="1" applyAlignment="1">
      <alignment horizontal="center"/>
    </xf>
    <xf numFmtId="0" fontId="2" fillId="2" borderId="1" xfId="2" applyNumberFormat="1" applyAlignment="1">
      <alignment horizontal="center"/>
    </xf>
    <xf numFmtId="0" fontId="3" fillId="3" borderId="1" xfId="3" applyNumberFormat="1" applyAlignment="1">
      <alignment horizontal="left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center"/>
    </xf>
    <xf numFmtId="167" fontId="0" fillId="0" borderId="0" xfId="0" applyNumberFormat="1"/>
    <xf numFmtId="10" fontId="5" fillId="0" borderId="0" xfId="1" applyNumberFormat="1" applyFont="1"/>
    <xf numFmtId="0" fontId="6" fillId="4" borderId="0" xfId="4"/>
    <xf numFmtId="22" fontId="0" fillId="0" borderId="0" xfId="0" applyNumberFormat="1"/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4" fontId="0" fillId="0" borderId="0" xfId="0" applyNumberFormat="1" applyAlignment="1">
      <alignment vertical="top"/>
    </xf>
    <xf numFmtId="168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 wrapText="1"/>
    </xf>
    <xf numFmtId="4" fontId="8" fillId="7" borderId="4" xfId="0" applyNumberFormat="1" applyFont="1" applyFill="1" applyBorder="1" applyAlignment="1">
      <alignment vertical="top"/>
    </xf>
    <xf numFmtId="0" fontId="7" fillId="8" borderId="2" xfId="0" applyFont="1" applyFill="1" applyBorder="1" applyAlignment="1">
      <alignment vertical="top"/>
    </xf>
    <xf numFmtId="0" fontId="7" fillId="8" borderId="3" xfId="0" applyFont="1" applyFill="1" applyBorder="1" applyAlignment="1">
      <alignment horizontal="right" vertical="top"/>
    </xf>
    <xf numFmtId="0" fontId="0" fillId="5" borderId="0" xfId="0" applyFill="1" applyAlignment="1">
      <alignment horizontal="right" vertical="top" wrapText="1"/>
    </xf>
    <xf numFmtId="0" fontId="9" fillId="9" borderId="0" xfId="0" applyFont="1" applyFill="1" applyAlignment="1">
      <alignment horizontal="center" vertical="top" wrapText="1"/>
    </xf>
    <xf numFmtId="0" fontId="7" fillId="10" borderId="0" xfId="0" applyFont="1" applyFill="1" applyAlignment="1">
      <alignment horizontal="right" vertical="top" wrapText="1"/>
    </xf>
    <xf numFmtId="0" fontId="9" fillId="11" borderId="0" xfId="0" applyFont="1" applyFill="1" applyAlignment="1">
      <alignment horizontal="right" vertical="top" wrapText="1"/>
    </xf>
    <xf numFmtId="169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70" fontId="0" fillId="0" borderId="0" xfId="0" applyNumberFormat="1" applyAlignment="1">
      <alignment vertical="top"/>
    </xf>
    <xf numFmtId="0" fontId="7" fillId="10" borderId="0" xfId="0" applyFont="1" applyFill="1" applyAlignment="1">
      <alignment vertical="top"/>
    </xf>
    <xf numFmtId="0" fontId="7" fillId="12" borderId="3" xfId="0" applyFont="1" applyFill="1" applyBorder="1" applyAlignment="1">
      <alignment horizontal="right" vertical="top"/>
    </xf>
    <xf numFmtId="168" fontId="9" fillId="9" borderId="4" xfId="0" applyNumberFormat="1" applyFont="1" applyFill="1" applyBorder="1" applyAlignment="1">
      <alignment horizontal="center" vertical="top"/>
    </xf>
    <xf numFmtId="4" fontId="8" fillId="6" borderId="3" xfId="0" applyNumberFormat="1" applyFont="1" applyFill="1" applyBorder="1" applyAlignment="1">
      <alignment vertical="top"/>
    </xf>
    <xf numFmtId="0" fontId="7" fillId="12" borderId="3" xfId="0" applyFont="1" applyFill="1" applyBorder="1" applyAlignment="1">
      <alignment vertical="top"/>
    </xf>
    <xf numFmtId="0" fontId="7" fillId="5" borderId="3" xfId="0" applyFont="1" applyFill="1" applyBorder="1" applyAlignment="1">
      <alignment horizontal="right" vertical="top"/>
    </xf>
    <xf numFmtId="4" fontId="8" fillId="5" borderId="2" xfId="0" applyNumberFormat="1" applyFont="1" applyFill="1" applyBorder="1" applyAlignment="1">
      <alignment vertical="top"/>
    </xf>
    <xf numFmtId="0" fontId="6" fillId="4" borderId="1" xfId="4" applyBorder="1"/>
    <xf numFmtId="166" fontId="0" fillId="0" borderId="5" xfId="0" applyNumberFormat="1" applyBorder="1"/>
    <xf numFmtId="168" fontId="0" fillId="0" borderId="0" xfId="0" applyNumberFormat="1" applyAlignment="1">
      <alignment vertical="top"/>
    </xf>
    <xf numFmtId="0" fontId="9" fillId="9" borderId="0" xfId="0" applyFont="1" applyFill="1" applyAlignment="1">
      <alignment vertical="top" wrapText="1"/>
    </xf>
    <xf numFmtId="4" fontId="0" fillId="0" borderId="0" xfId="0" applyNumberFormat="1"/>
    <xf numFmtId="0" fontId="10" fillId="0" borderId="0" xfId="0" applyFont="1" applyAlignment="1">
      <alignment vertical="center"/>
    </xf>
    <xf numFmtId="10" fontId="11" fillId="0" borderId="0" xfId="1" applyNumberFormat="1" applyFont="1"/>
    <xf numFmtId="169" fontId="0" fillId="0" borderId="0" xfId="0" applyNumberFormat="1" applyFill="1" applyAlignment="1">
      <alignment vertical="top"/>
    </xf>
  </cellXfs>
  <cellStyles count="5">
    <cellStyle name="Calculation" xfId="3" builtinId="22"/>
    <cellStyle name="Good" xfId="4" builtinId="26"/>
    <cellStyle name="Input" xfId="2" builtinId="20"/>
    <cellStyle name="Normal" xfId="0" builtinId="0"/>
    <cellStyle name="Percent" xfId="1" builtinId="5"/>
  </cellStyles>
  <dxfs count="791"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center"/>
    </dxf>
    <dxf>
      <numFmt numFmtId="0" formatCode="General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39997558519241921"/>
        </patternFill>
      </fill>
    </dxf>
    <dxf>
      <font>
        <color auto="1"/>
      </font>
    </dxf>
    <dxf>
      <fill>
        <patternFill patternType="solid"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ill>
        <patternFill>
          <bgColor theme="1" tint="0.34998626667073579"/>
        </patternFill>
      </fill>
    </dxf>
    <dxf>
      <font>
        <color theme="0"/>
      </font>
    </dxf>
    <dxf>
      <fill>
        <patternFill>
          <bgColor theme="0" tint="-0.499984740745262"/>
        </patternFill>
      </fill>
    </dxf>
    <dxf>
      <font>
        <color auto="1"/>
      </font>
    </dxf>
    <dxf>
      <font>
        <color auto="1"/>
      </font>
      <fill>
        <patternFill>
          <fgColor theme="0" tint="-0.499984740745262"/>
        </patternFill>
      </fill>
    </dxf>
    <dxf>
      <fill>
        <patternFill>
          <fgColor theme="0" tint="-0.499984740745262"/>
        </patternFill>
      </fill>
    </dxf>
    <dxf>
      <numFmt numFmtId="169" formatCode="#,##0.000_ ;[Red]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4" formatCode="#,##0.00"/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fill>
        <patternFill>
          <fgColor theme="0" tint="-0.499984740745262"/>
          <bgColor theme="7" tint="-0.249977111117893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center"/>
    </dxf>
    <dxf>
      <numFmt numFmtId="0" formatCode="General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39997558519241921"/>
        </patternFill>
      </fill>
    </dxf>
    <dxf>
      <font>
        <color auto="1"/>
      </font>
    </dxf>
    <dxf>
      <fill>
        <patternFill patternType="solid"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ill>
        <patternFill>
          <bgColor theme="1" tint="0.34998626667073579"/>
        </patternFill>
      </fill>
    </dxf>
    <dxf>
      <font>
        <color theme="0"/>
      </font>
    </dxf>
    <dxf>
      <fill>
        <patternFill>
          <bgColor theme="0" tint="-0.499984740745262"/>
        </patternFill>
      </fill>
    </dxf>
    <dxf>
      <font>
        <color auto="1"/>
      </font>
    </dxf>
    <dxf>
      <font>
        <color auto="1"/>
      </font>
      <fill>
        <patternFill>
          <fgColor theme="0" tint="-0.499984740745262"/>
        </patternFill>
      </fill>
    </dxf>
    <dxf>
      <fill>
        <patternFill>
          <fgColor theme="0" tint="-0.499984740745262"/>
        </patternFill>
      </fill>
    </dxf>
    <dxf>
      <numFmt numFmtId="169" formatCode="#,##0.000_ ;[Red]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4" formatCode="#,##0.00"/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fill>
        <patternFill>
          <fgColor theme="0" tint="-0.499984740745262"/>
          <bgColor theme="7" tint="-0.249977111117893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center"/>
    </dxf>
    <dxf>
      <numFmt numFmtId="0" formatCode="General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39997558519241921"/>
        </patternFill>
      </fill>
    </dxf>
    <dxf>
      <font>
        <color auto="1"/>
      </font>
    </dxf>
    <dxf>
      <fill>
        <patternFill patternType="solid"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ill>
        <patternFill>
          <bgColor theme="1" tint="0.34998626667073579"/>
        </patternFill>
      </fill>
    </dxf>
    <dxf>
      <font>
        <color theme="0"/>
      </font>
    </dxf>
    <dxf>
      <fill>
        <patternFill>
          <bgColor theme="0" tint="-0.499984740745262"/>
        </patternFill>
      </fill>
    </dxf>
    <dxf>
      <font>
        <color auto="1"/>
      </font>
    </dxf>
    <dxf>
      <font>
        <color auto="1"/>
      </font>
      <fill>
        <patternFill>
          <fgColor theme="0" tint="-0.499984740745262"/>
        </patternFill>
      </fill>
    </dxf>
    <dxf>
      <fill>
        <patternFill>
          <fgColor theme="0" tint="-0.499984740745262"/>
        </patternFill>
      </fill>
    </dxf>
    <dxf>
      <numFmt numFmtId="169" formatCode="#,##0.000_ ;[Red]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4" formatCode="#,##0.00"/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fill>
        <patternFill>
          <fgColor theme="0" tint="-0.499984740745262"/>
          <bgColor theme="7" tint="-0.249977111117893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center"/>
    </dxf>
    <dxf>
      <numFmt numFmtId="0" formatCode="General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39997558519241921"/>
        </patternFill>
      </fill>
    </dxf>
    <dxf>
      <font>
        <color auto="1"/>
      </font>
    </dxf>
    <dxf>
      <fill>
        <patternFill patternType="solid"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ill>
        <patternFill>
          <bgColor theme="1" tint="0.34998626667073579"/>
        </patternFill>
      </fill>
    </dxf>
    <dxf>
      <font>
        <color theme="0"/>
      </font>
    </dxf>
    <dxf>
      <fill>
        <patternFill>
          <bgColor theme="0" tint="-0.499984740745262"/>
        </patternFill>
      </fill>
    </dxf>
    <dxf>
      <font>
        <color auto="1"/>
      </font>
    </dxf>
    <dxf>
      <font>
        <color auto="1"/>
      </font>
      <fill>
        <patternFill>
          <fgColor theme="0" tint="-0.499984740745262"/>
        </patternFill>
      </fill>
    </dxf>
    <dxf>
      <fill>
        <patternFill>
          <fgColor theme="0" tint="-0.499984740745262"/>
        </patternFill>
      </fill>
    </dxf>
    <dxf>
      <numFmt numFmtId="169" formatCode="#,##0.000_ ;[Red]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4" formatCode="#,##0.00"/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fill>
        <patternFill>
          <fgColor theme="0" tint="-0.499984740745262"/>
          <bgColor theme="7" tint="-0.249977111117893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center"/>
    </dxf>
    <dxf>
      <numFmt numFmtId="0" formatCode="General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39997558519241921"/>
        </patternFill>
      </fill>
    </dxf>
    <dxf>
      <font>
        <color auto="1"/>
      </font>
    </dxf>
    <dxf>
      <fill>
        <patternFill patternType="solid"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ill>
        <patternFill>
          <bgColor theme="1" tint="0.34998626667073579"/>
        </patternFill>
      </fill>
    </dxf>
    <dxf>
      <font>
        <color theme="0"/>
      </font>
    </dxf>
    <dxf>
      <fill>
        <patternFill>
          <bgColor theme="0" tint="-0.499984740745262"/>
        </patternFill>
      </fill>
    </dxf>
    <dxf>
      <font>
        <color auto="1"/>
      </font>
    </dxf>
    <dxf>
      <font>
        <color auto="1"/>
      </font>
      <fill>
        <patternFill>
          <fgColor theme="0" tint="-0.499984740745262"/>
        </patternFill>
      </fill>
    </dxf>
    <dxf>
      <fill>
        <patternFill>
          <fgColor theme="0" tint="-0.499984740745262"/>
        </patternFill>
      </fill>
    </dxf>
    <dxf>
      <numFmt numFmtId="169" formatCode="#,##0.000_ ;[Red]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4" formatCode="#,##0.00"/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fill>
        <patternFill>
          <fgColor theme="0" tint="-0.499984740745262"/>
          <bgColor theme="7" tint="-0.249977111117893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center"/>
    </dxf>
    <dxf>
      <numFmt numFmtId="0" formatCode="General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39997558519241921"/>
        </patternFill>
      </fill>
    </dxf>
    <dxf>
      <font>
        <color auto="1"/>
      </font>
    </dxf>
    <dxf>
      <fill>
        <patternFill patternType="solid"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ill>
        <patternFill>
          <bgColor theme="1" tint="0.34998626667073579"/>
        </patternFill>
      </fill>
    </dxf>
    <dxf>
      <font>
        <color theme="0"/>
      </font>
    </dxf>
    <dxf>
      <fill>
        <patternFill>
          <bgColor theme="0" tint="-0.499984740745262"/>
        </patternFill>
      </fill>
    </dxf>
    <dxf>
      <font>
        <color auto="1"/>
      </font>
    </dxf>
    <dxf>
      <font>
        <color auto="1"/>
      </font>
      <fill>
        <patternFill>
          <fgColor theme="0" tint="-0.499984740745262"/>
        </patternFill>
      </fill>
    </dxf>
    <dxf>
      <fill>
        <patternFill>
          <fgColor theme="0" tint="-0.499984740745262"/>
        </patternFill>
      </fill>
    </dxf>
    <dxf>
      <numFmt numFmtId="169" formatCode="#,##0.000_ ;[Red]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4" formatCode="#,##0.00"/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fill>
        <patternFill>
          <fgColor theme="0" tint="-0.499984740745262"/>
          <bgColor theme="7" tint="-0.249977111117893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center"/>
    </dxf>
    <dxf>
      <numFmt numFmtId="0" formatCode="General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39997558519241921"/>
        </patternFill>
      </fill>
    </dxf>
    <dxf>
      <font>
        <color auto="1"/>
      </font>
    </dxf>
    <dxf>
      <fill>
        <patternFill patternType="solid"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ill>
        <patternFill>
          <bgColor theme="1" tint="0.34998626667073579"/>
        </patternFill>
      </fill>
    </dxf>
    <dxf>
      <font>
        <color theme="0"/>
      </font>
    </dxf>
    <dxf>
      <fill>
        <patternFill>
          <bgColor theme="0" tint="-0.499984740745262"/>
        </patternFill>
      </fill>
    </dxf>
    <dxf>
      <font>
        <color auto="1"/>
      </font>
    </dxf>
    <dxf>
      <font>
        <color auto="1"/>
      </font>
      <fill>
        <patternFill>
          <fgColor theme="0" tint="-0.499984740745262"/>
        </patternFill>
      </fill>
    </dxf>
    <dxf>
      <fill>
        <patternFill>
          <fgColor theme="0" tint="-0.499984740745262"/>
        </patternFill>
      </fill>
    </dxf>
    <dxf>
      <numFmt numFmtId="169" formatCode="#,##0.000_ ;[Red]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4" formatCode="#,##0.00"/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fill>
        <patternFill>
          <fgColor theme="0" tint="-0.499984740745262"/>
          <bgColor theme="7" tint="-0.249977111117893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center"/>
    </dxf>
    <dxf>
      <numFmt numFmtId="0" formatCode="General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39997558519241921"/>
        </patternFill>
      </fill>
    </dxf>
    <dxf>
      <font>
        <color auto="1"/>
      </font>
    </dxf>
    <dxf>
      <fill>
        <patternFill patternType="solid"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ill>
        <patternFill>
          <bgColor theme="1" tint="0.34998626667073579"/>
        </patternFill>
      </fill>
    </dxf>
    <dxf>
      <font>
        <color theme="0"/>
      </font>
    </dxf>
    <dxf>
      <fill>
        <patternFill>
          <bgColor theme="0" tint="-0.499984740745262"/>
        </patternFill>
      </fill>
    </dxf>
    <dxf>
      <font>
        <color auto="1"/>
      </font>
    </dxf>
    <dxf>
      <font>
        <color auto="1"/>
      </font>
      <fill>
        <patternFill>
          <fgColor theme="0" tint="-0.499984740745262"/>
        </patternFill>
      </fill>
    </dxf>
    <dxf>
      <fill>
        <patternFill>
          <fgColor theme="0" tint="-0.499984740745262"/>
        </patternFill>
      </fill>
    </dxf>
    <dxf>
      <numFmt numFmtId="169" formatCode="#,##0.000_ ;[Red]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4" formatCode="#,##0.00"/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fill>
        <patternFill>
          <fgColor theme="0" tint="-0.499984740745262"/>
          <bgColor theme="7" tint="-0.249977111117893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center"/>
    </dxf>
    <dxf>
      <numFmt numFmtId="0" formatCode="General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39997558519241921"/>
        </patternFill>
      </fill>
    </dxf>
    <dxf>
      <font>
        <color auto="1"/>
      </font>
    </dxf>
    <dxf>
      <fill>
        <patternFill patternType="solid"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ill>
        <patternFill>
          <bgColor theme="1" tint="0.34998626667073579"/>
        </patternFill>
      </fill>
    </dxf>
    <dxf>
      <font>
        <color theme="0"/>
      </font>
    </dxf>
    <dxf>
      <fill>
        <patternFill>
          <bgColor theme="0" tint="-0.499984740745262"/>
        </patternFill>
      </fill>
    </dxf>
    <dxf>
      <font>
        <color auto="1"/>
      </font>
    </dxf>
    <dxf>
      <font>
        <color auto="1"/>
      </font>
      <fill>
        <patternFill>
          <fgColor theme="0" tint="-0.499984740745262"/>
        </patternFill>
      </fill>
    </dxf>
    <dxf>
      <fill>
        <patternFill>
          <fgColor theme="0" tint="-0.499984740745262"/>
        </patternFill>
      </fill>
    </dxf>
    <dxf>
      <numFmt numFmtId="169" formatCode="#,##0.000_ ;[Red]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4" formatCode="#,##0.00"/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fill>
        <patternFill>
          <fgColor theme="0" tint="-0.499984740745262"/>
          <bgColor theme="7" tint="-0.249977111117893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center"/>
    </dxf>
    <dxf>
      <numFmt numFmtId="0" formatCode="General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39997558519241921"/>
        </patternFill>
      </fill>
    </dxf>
    <dxf>
      <font>
        <color auto="1"/>
      </font>
    </dxf>
    <dxf>
      <fill>
        <patternFill patternType="solid"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ill>
        <patternFill>
          <bgColor theme="1" tint="0.34998626667073579"/>
        </patternFill>
      </fill>
    </dxf>
    <dxf>
      <font>
        <color theme="0"/>
      </font>
    </dxf>
    <dxf>
      <fill>
        <patternFill>
          <bgColor theme="0" tint="-0.499984740745262"/>
        </patternFill>
      </fill>
    </dxf>
    <dxf>
      <font>
        <color auto="1"/>
      </font>
    </dxf>
    <dxf>
      <font>
        <color auto="1"/>
      </font>
      <fill>
        <patternFill>
          <fgColor theme="0" tint="-0.499984740745262"/>
        </patternFill>
      </fill>
    </dxf>
    <dxf>
      <fill>
        <patternFill>
          <fgColor theme="0" tint="-0.499984740745262"/>
        </patternFill>
      </fill>
    </dxf>
    <dxf>
      <numFmt numFmtId="169" formatCode="#,##0.000_ ;[Red]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4" formatCode="#,##0.00"/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fill>
        <patternFill>
          <fgColor theme="0" tint="-0.499984740745262"/>
          <bgColor theme="7" tint="-0.249977111117893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numFmt numFmtId="0" formatCode="General"/>
    </dxf>
    <dxf>
      <numFmt numFmtId="27" formatCode="dd/mm/yyyy\ hh:mm"/>
    </dxf>
    <dxf>
      <numFmt numFmtId="27" formatCode="dd/mm/yyyy\ hh:mm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mmm\-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67" formatCode="#,##0.0000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4" formatCode="0.00%"/>
    </dxf>
    <dxf>
      <numFmt numFmtId="167" formatCode="#,##0.0000"/>
    </dxf>
    <dxf>
      <numFmt numFmtId="165" formatCode="#,##0.00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  <alignment horizontal="center" vertical="bottom" textRotation="0" wrapText="0" indent="0" justifyLastLine="0" shrinkToFit="0" readingOrder="0"/>
    </dxf>
    <dxf>
      <numFmt numFmtId="35" formatCode="_-* #,##0.00_-;\-* #,##0.00_-;_-* &quot;-&quot;??_-;_-@_-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numFmt numFmtId="0" formatCode="General"/>
    </dxf>
    <dxf>
      <numFmt numFmtId="165" formatCode="#,##0.000"/>
    </dxf>
    <dxf>
      <numFmt numFmtId="165" formatCode="#,##0.000"/>
    </dxf>
    <dxf>
      <numFmt numFmtId="166" formatCode="#,##0.00_ ;[Red]\-#,##0.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solid">
          <bgColor theme="1"/>
        </patternFill>
      </fill>
    </dxf>
    <dxf>
      <fill>
        <patternFill>
          <fgColor theme="0" tint="-0.499984740745262"/>
          <bgColor theme="7" tint="-0.249977111117893"/>
        </patternFill>
      </fill>
    </dxf>
    <dxf>
      <font>
        <color auto="1"/>
      </font>
      <fill>
        <patternFill>
          <fgColor theme="0" tint="-0.499984740745262"/>
          <bgColor theme="7" tint="-0.249977111117893"/>
        </patternFill>
      </fill>
    </dxf>
    <dxf>
      <numFmt numFmtId="4" formatCode="#,##0.00"/>
    </dxf>
    <dxf>
      <font>
        <color theme="0"/>
      </font>
      <fill>
        <patternFill patternType="solid">
          <fgColor indexed="64"/>
          <bgColor theme="1"/>
        </patternFill>
      </fill>
      <alignment horizontal="right" wrapText="1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70" formatCode="#,##0.000_ ;\-#,##0.000\ "/>
    </dxf>
    <dxf>
      <numFmt numFmtId="165" formatCode="#,##0.000"/>
    </dxf>
    <dxf>
      <numFmt numFmtId="165" formatCode="#,##0.000"/>
    </dxf>
    <dxf>
      <numFmt numFmtId="165" formatCode="#,##0.000"/>
    </dxf>
    <dxf>
      <numFmt numFmtId="165" formatCode="#,##0.000"/>
    </dxf>
    <dxf>
      <numFmt numFmtId="169" formatCode="#,##0.000_ ;[Red]\-#,##0.000\ "/>
    </dxf>
    <dxf>
      <fill>
        <patternFill>
          <fgColor theme="0" tint="-0.499984740745262"/>
        </patternFill>
      </fill>
    </dxf>
    <dxf>
      <font>
        <color auto="1"/>
      </font>
      <fill>
        <patternFill>
          <fgColor theme="0" tint="-0.499984740745262"/>
        </patternFill>
      </fill>
    </dxf>
    <dxf>
      <font>
        <color auto="1"/>
      </font>
    </dxf>
    <dxf>
      <fill>
        <patternFill>
          <bgColor theme="0" tint="-0.499984740745262"/>
        </patternFill>
      </fill>
    </dxf>
    <dxf>
      <font>
        <color theme="0"/>
      </font>
    </dxf>
    <dxf>
      <fill>
        <patternFill>
          <bgColor theme="1" tint="0.34998626667073579"/>
        </patternFill>
      </fill>
    </dxf>
    <dxf>
      <font>
        <color auto="1"/>
      </font>
      <fill>
        <patternFill patternType="solid">
          <fgColor indexed="64"/>
          <bgColor theme="7" tint="-0.249977111117893"/>
        </patternFill>
      </fill>
    </dxf>
    <dxf>
      <font>
        <color auto="1"/>
      </font>
    </dxf>
    <dxf>
      <fill>
        <patternFill>
          <bgColor theme="7" tint="-0.249977111117893"/>
        </patternFill>
      </fill>
    </dxf>
    <dxf>
      <font>
        <color auto="1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499984740745262"/>
        </patternFill>
      </fill>
    </dxf>
    <dxf>
      <font>
        <color auto="1"/>
      </font>
    </dxf>
    <dxf>
      <fill>
        <patternFill patternType="solid">
          <bgColor theme="7" tint="0.39997558519241921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numFmt numFmtId="168" formatCode="[Red]&quot;Yes&quot;;;&quot;No&quot;"/>
    </dxf>
    <dxf>
      <alignment horizontal="center"/>
    </dxf>
    <dxf>
      <alignment horizontal="center"/>
    </dxf>
    <dxf>
      <numFmt numFmtId="168" formatCode="[Red]&quot;Yes&quot;;;&quot;No&quot;"/>
    </dxf>
    <dxf>
      <numFmt numFmtId="0" formatCode="General"/>
    </dxf>
    <dxf>
      <alignment horizontal="center"/>
    </dxf>
    <dxf>
      <alignment horizontal="righ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 (MS) - CLIMA Dec" refreshedDate="45672.752462152777" missingItemsLimit="0" createdVersion="6" refreshedVersion="8" minRefreshableVersion="3" recordCount="84" xr:uid="{00000000-000A-0000-FFFF-FFFF2E000000}">
  <cacheSource type="worksheet">
    <worksheetSource name="data"/>
  </cacheSource>
  <cacheFields count="34">
    <cacheField name="UID" numFmtId="0">
      <sharedItems/>
    </cacheField>
    <cacheField name="State" numFmtId="0">
      <sharedItems count="28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Iceland"/>
        <s v="Ireland"/>
        <s v="Italy"/>
        <s v="Lithuania"/>
        <s v="Luxembourg"/>
        <s v="Malta"/>
        <s v="Netherlands"/>
        <s v="Norway"/>
        <s v="Portugal"/>
        <s v="Romania"/>
        <s v="Slovakia"/>
        <s v="Slovenia"/>
        <s v="Spain"/>
        <s v="Sweden"/>
        <s v="Switzerland"/>
        <s v="United Kingdom"/>
      </sharedItems>
    </cacheField>
    <cacheField name="Year" numFmtId="0">
      <sharedItems containsSemiMixedTypes="0" containsString="0" containsNumber="1" containsInteger="1" minValue="2023" maxValue="2025" count="3">
        <n v="2023"/>
        <n v="2024"/>
        <n v="2025"/>
      </sharedItems>
    </cacheField>
    <cacheField name="ESF" numFmtId="0">
      <sharedItems containsSemiMixedTypes="0" containsString="0" containsNumber="1" containsInteger="1" minValue="2" maxValue="2"/>
    </cacheField>
    <cacheField name="CSF" numFmtId="0">
      <sharedItems containsSemiMixedTypes="0" containsString="0" containsNumber="1" containsInteger="1" minValue="2" maxValue="2"/>
    </cacheField>
    <cacheField name="Maximum" numFmtId="43">
      <sharedItems containsSemiMixedTypes="0" containsString="0" containsNumber="1" containsInteger="1" minValue="1000" maxValue="95000"/>
    </cacheField>
    <cacheField name="CheckStateName" numFmtId="43">
      <sharedItems/>
    </cacheField>
    <cacheField name="Budget_Year" numFmtId="43">
      <sharedItems containsSemiMixedTypes="0" containsString="0" containsNumber="1" minValue="522.3008866576057" maxValue="69540.001962890208"/>
    </cacheField>
    <cacheField name="Actual_Year" numFmtId="43">
      <sharedItems containsSemiMixedTypes="0" containsString="0" containsNumber="1" minValue="0" maxValue="50166.63"/>
    </cacheField>
    <cacheField name="GDP_3Years" numFmtId="165">
      <sharedItems containsSemiMixedTypes="0" containsString="0" containsNumber="1" minValue="45.936" maxValue="12251.644"/>
    </cacheField>
    <cacheField name="ESFe" numFmtId="167">
      <sharedItems containsSemiMixedTypes="0" containsString="0" containsNumber="1" minValue="24722.677350000002" maxValue="9301536.0616500005"/>
    </cacheField>
    <cacheField name="ESF%Budget" numFmtId="10">
      <sharedItems containsSemiMixedTypes="0" containsString="0" containsNumber="1" minValue="1.3821513686998873E-3" maxValue="0.14871593514912745"/>
    </cacheField>
    <cacheField name="ESF%Actual" numFmtId="10">
      <sharedItems containsSemiMixedTypes="0" containsString="0" containsNumber="1" minValue="1.3821513686998873E-3" maxValue="0.14871593514912745"/>
    </cacheField>
    <cacheField name="ESFBudget" numFmtId="43">
      <sharedItems containsSemiMixedTypes="0" containsString="0" containsNumber="1" minValue="86.779137999120394" maxValue="13878.882028854638"/>
    </cacheField>
    <cacheField name="ESFActual" numFmtId="43">
      <sharedItems containsSemiMixedTypes="0" containsString="0" containsNumber="1" minValue="0" maxValue="5135.7100372573414"/>
    </cacheField>
    <cacheField name="CSFe" numFmtId="167">
      <sharedItems containsSemiMixedTypes="0" containsString="0" containsNumber="1" minValue="41768.463000000003" maxValue="31741224.951200001"/>
    </cacheField>
    <cacheField name="CSF%Budget" numFmtId="10">
      <sharedItems containsSemiMixedTypes="0" containsString="0" containsNumber="1" minValue="1.2190771124370183E-3" maxValue="0.19659863863926691"/>
    </cacheField>
    <cacheField name="CSF%Actual" numFmtId="10">
      <sharedItems containsSemiMixedTypes="0" containsString="0" containsNumber="1" minValue="1.2190771124370183E-3" maxValue="0.19659863863926691"/>
    </cacheField>
    <cacheField name="CSFBudget" numFmtId="43">
      <sharedItems containsSemiMixedTypes="0" containsString="0" containsNumber="1" minValue="63.635576420969421" maxValue="15727.891091141353"/>
    </cacheField>
    <cacheField name="CSFActual" numFmtId="43">
      <sharedItems containsSemiMixedTypes="0" containsString="0" containsNumber="1" minValue="0" maxValue="19055.76906776521"/>
    </cacheField>
    <cacheField name="HDBudget" numFmtId="43">
      <sharedItems containsSemiMixedTypes="0" containsString="0" containsNumber="1" minValue="117.52188862722785" maxValue="17164.281853243639"/>
    </cacheField>
    <cacheField name="HDActual" numFmtId="43">
      <sharedItems containsSemiMixedTypes="0" containsString="0" containsNumber="1" minValue="0" maxValue="25694.149811643922"/>
    </cacheField>
    <cacheField name="RFDBudget" numFmtId="43">
      <sharedItems containsSemiMixedTypes="0" containsString="0" containsNumber="1" minValue="182.805310330162" maxValue="34435.674048931207"/>
    </cacheField>
    <cacheField name="RFDActual" numFmtId="43">
      <sharedItems containsSemiMixedTypes="0" containsString="0" containsNumber="1" minValue="0" maxValue="22325.713413742455"/>
    </cacheField>
    <cacheField name="5.5 MaxBudget" numFmtId="0" formula="IF('5.10(a) Cost'&gt;Budget_Year,1,0)" databaseField="0"/>
    <cacheField name="5.6 MaxState" numFmtId="0" formula=" IF('5.10'-'5.10(c)'&gt;Maximum, 1, 0)" databaseField="0"/>
    <cacheField name="5.10(a) Cost" numFmtId="0" formula="HDActual+CSFActual+ESFActual+RFDActual" databaseField="0"/>
    <cacheField name="5.10(b)" numFmtId="0" formula=" 0" databaseField="0"/>
    <cacheField name="5.10(c)" numFmtId="0" formula=" 0" databaseField="0"/>
    <cacheField name="5.10(d)" numFmtId="0" formula=" 0" databaseField="0"/>
    <cacheField name="5.10(e)" numFmtId="0" formula=" 0" databaseField="0"/>
    <cacheField name="5.10(f)" numFmtId="0" formula=" 0" databaseField="0"/>
    <cacheField name="5.10" numFmtId="0" formula="'5.10(a) Cost'+'5.10(b)'+'5.10(c)'+'5.10(d)'+'5.10(e)'+'5.10(f)'" databaseField="0"/>
    <cacheField name="5.10Round2" numFmtId="0" formula="ROUND('5.10',2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s v="2023-Austria"/>
    <x v="0"/>
    <x v="0"/>
    <n v="2"/>
    <n v="2"/>
    <n v="11000"/>
    <s v=""/>
    <n v="7418.9394314816527"/>
    <n v="4944.8"/>
    <n v="1333.347"/>
    <n v="576013.91399999999"/>
    <n v="1.952175705123476E-2"/>
    <n v="1.952175705123476E-2"/>
    <n v="1561.7405640987809"/>
    <n v="683.48309467776551"/>
    <n v="1214722.9548500001"/>
    <n v="1.757294010617351E-2"/>
    <n v="1.757294010617351E-2"/>
    <n v="1405.8352084938808"/>
    <n v="1703.2970870126294"/>
    <n v="1854.7348578704132"/>
    <n v="2535.0367081557802"/>
    <n v="2596.6288010185785"/>
    <n v="22.987788170599732"/>
  </r>
  <r>
    <s v="2023-Belgium"/>
    <x v="1"/>
    <x v="0"/>
    <n v="2"/>
    <n v="2"/>
    <n v="21000"/>
    <s v=""/>
    <n v="14586.524460683628"/>
    <n v="11100.86"/>
    <n v="1600.3119999999999"/>
    <n v="885657.35160000005"/>
    <n v="2.7633402552076684E-2"/>
    <n v="2.7633402552076684E-2"/>
    <n v="2210.6722041661346"/>
    <n v="967.48276516304804"/>
    <n v="4255742.5307999998"/>
    <n v="4.5299219751341463E-2"/>
    <n v="4.5299219751341463E-2"/>
    <n v="3623.937580107317"/>
    <n v="4390.7296434305072"/>
    <n v="3646.6311151709065"/>
    <n v="5691.0415337286549"/>
    <n v="5105.2835612392691"/>
    <n v="51.606533675251242"/>
  </r>
  <r>
    <s v="2023-Bulgaria"/>
    <x v="2"/>
    <x v="0"/>
    <n v="2"/>
    <n v="2"/>
    <n v="4000"/>
    <s v=""/>
    <n v="2692.2413540992179"/>
    <n v="1664.48"/>
    <n v="205.34199999999998"/>
    <n v="324063.40995"/>
    <n v="8.0971351394091007E-3"/>
    <n v="8.0971351394091007E-3"/>
    <n v="647.77081115272802"/>
    <n v="283.49164312324893"/>
    <n v="494241.91159999999"/>
    <n v="5.3640716310869915E-3"/>
    <n v="5.3640716310869915E-3"/>
    <n v="429.1257304869593"/>
    <n v="519.92481215751684"/>
    <n v="673.06033852480448"/>
    <n v="853.32123238541737"/>
    <n v="942.28447393472618"/>
    <n v="7.7379422824301223"/>
  </r>
  <r>
    <s v="2023-Croatia"/>
    <x v="3"/>
    <x v="0"/>
    <n v="2"/>
    <n v="2"/>
    <n v="3000"/>
    <s v=""/>
    <n v="2041.9518533864475"/>
    <n v="1210.82"/>
    <n v="181.69800000000001"/>
    <n v="258034.40460000001"/>
    <n v="6.5436949906667666E-3"/>
    <n v="6.5436949906667666E-3"/>
    <n v="523.49559925334131"/>
    <n v="229.10360430724785"/>
    <n v="312470.0624"/>
    <n v="3.6660642762654716E-3"/>
    <n v="3.6660642762654716E-3"/>
    <n v="293.28514210123774"/>
    <n v="355.3415970711888"/>
    <n v="510.48796334661176"/>
    <n v="620.74842533279468"/>
    <n v="714.68314868525647"/>
    <n v="5.6289651597055874"/>
  </r>
  <r>
    <s v="2023-Cyprus"/>
    <x v="4"/>
    <x v="0"/>
    <n v="2"/>
    <n v="2"/>
    <n v="4000"/>
    <s v=""/>
    <n v="2531.7272631587157"/>
    <n v="1578.96"/>
    <n v="75.968999999999994"/>
    <n v="328479.16814999998"/>
    <n v="7.5073678734422196E-3"/>
    <n v="7.5073678734422196E-3"/>
    <n v="600.58942987537762"/>
    <n v="262.84309417221112"/>
    <n v="548848.17075000005"/>
    <n v="5.1512684423513583E-3"/>
    <n v="5.1512684423513583E-3"/>
    <n v="412.10147538810867"/>
    <n v="499.29838030886646"/>
    <n v="632.93181578967881"/>
    <n v="809.48242717901178"/>
    <n v="886.10454210555031"/>
    <n v="7.3404106946251586"/>
  </r>
  <r>
    <s v="2023-Czech Republic"/>
    <x v="5"/>
    <x v="0"/>
    <n v="2"/>
    <n v="2"/>
    <n v="5000"/>
    <s v=""/>
    <n v="3348.6317251715709"/>
    <n v="2255.23"/>
    <n v="746.78700000000003"/>
    <n v="216082.1943"/>
    <n v="8.6295099524372129E-3"/>
    <n v="8.6295099524372129E-3"/>
    <n v="690.36079619497707"/>
    <n v="302.13080474082147"/>
    <n v="480555.72454999998"/>
    <n v="8.1136486734206432E-3"/>
    <n v="8.1136486734206432E-3"/>
    <n v="649.09189387365143"/>
    <n v="786.43380487174193"/>
    <n v="837.15793129289261"/>
    <n v="1156.1815644927599"/>
    <n v="1172.0211038100497"/>
    <n v="10.484288770180173"/>
  </r>
  <r>
    <s v="2023-Denmark"/>
    <x v="6"/>
    <x v="0"/>
    <n v="2"/>
    <n v="2"/>
    <n v="10000"/>
    <s v=""/>
    <n v="7041.8515442262506"/>
    <n v="4683.99"/>
    <n v="1060.4870000000001"/>
    <n v="600378.51824999996"/>
    <n v="1.8603440512953862E-2"/>
    <n v="1.8603440512953862E-2"/>
    <n v="1488.2752410363089"/>
    <n v="651.33159172489479"/>
    <n v="1269990.38595"/>
    <n v="1.6605817208177394E-2"/>
    <n v="1.6605817208177394E-2"/>
    <n v="1328.4653766541915"/>
    <n v="1609.556506040565"/>
    <n v="1760.4628860565626"/>
    <n v="2401.3247490637145"/>
    <n v="2464.6480404791878"/>
    <n v="21.775284153756353"/>
  </r>
  <r>
    <s v="2023-Estonia"/>
    <x v="7"/>
    <x v="0"/>
    <n v="2"/>
    <n v="2"/>
    <n v="2000"/>
    <s v=""/>
    <n v="743.08345587211181"/>
    <n v="482.65"/>
    <n v="92.177999999999997"/>
    <n v="72373.795199999993"/>
    <n v="2.0536969316967252E-3"/>
    <n v="2.0536969316967252E-3"/>
    <n v="164.29575453573801"/>
    <n v="71.902704798671124"/>
    <n v="135622.14305000001"/>
    <n v="1.6617203476638341E-3"/>
    <n v="1.6617203476638341E-3"/>
    <n v="132.93762781310673"/>
    <n v="161.06601459428407"/>
    <n v="185.77086396802795"/>
    <n v="247.43973493818518"/>
    <n v="260.07920955523912"/>
    <n v="2.2437908663998756"/>
  </r>
  <r>
    <s v="2023-Finland"/>
    <x v="8"/>
    <x v="0"/>
    <n v="2"/>
    <n v="2"/>
    <n v="7000"/>
    <s v=""/>
    <n v="4708.4148008081556"/>
    <n v="3184.94"/>
    <n v="815.99699999999996"/>
    <n v="356123.34135"/>
    <n v="1.2025183820041694E-2"/>
    <n v="1.2025183820041694E-2"/>
    <n v="962.01470560333553"/>
    <n v="421.01793551780912"/>
    <n v="831514.22140000004"/>
    <n v="1.1516890183999083E-2"/>
    <n v="1.1516890183999083E-2"/>
    <n v="921.3512147199267"/>
    <n v="1116.3007091202962"/>
    <n v="1177.1037002020387"/>
    <n v="1632.8102714217252"/>
    <n v="1647.9451802828542"/>
    <n v="14.80637204244994"/>
  </r>
  <r>
    <s v="2023-France"/>
    <x v="9"/>
    <x v="0"/>
    <n v="2"/>
    <n v="2"/>
    <n v="66000"/>
    <s v=""/>
    <n v="47678.908039252914"/>
    <n v="32859.89"/>
    <n v="8141.7479999999996"/>
    <n v="3416708.1815999998"/>
    <n v="0.11702925392361221"/>
    <n v="0.11702925392361221"/>
    <n v="9362.3403138889771"/>
    <n v="4097.3523248759657"/>
    <n v="9042442.0377999991"/>
    <n v="0.12136528627265233"/>
    <n v="0.12136528627265233"/>
    <n v="9709.222901812187"/>
    <n v="11763.605709897107"/>
    <n v="11919.727009813227"/>
    <n v="16846.172577229721"/>
    <n v="16687.617813738518"/>
    <n v="152.7615933311076"/>
  </r>
  <r>
    <s v="2023-Germany"/>
    <x v="10"/>
    <x v="0"/>
    <n v="2"/>
    <n v="2"/>
    <n v="95000"/>
    <s v=""/>
    <n v="68657.127412974573"/>
    <n v="50118.62"/>
    <n v="11711.184000000001"/>
    <n v="3913737.9750000001"/>
    <n v="0.1466869984256059"/>
    <n v="0.1466869984256059"/>
    <n v="11734.959874048473"/>
    <n v="5135.7100372573414"/>
    <n v="15552330.564300001"/>
    <n v="0.19659863863926691"/>
    <n v="0.19659863863926691"/>
    <n v="15727.891091141353"/>
    <n v="19055.76906776521"/>
    <n v="17164.281853243639"/>
    <n v="25694.149811643922"/>
    <n v="24029.994594541098"/>
    <n v="232.99531371418288"/>
  </r>
  <r>
    <s v="2023-Greece"/>
    <x v="11"/>
    <x v="0"/>
    <n v="2"/>
    <n v="2"/>
    <n v="21000"/>
    <s v=""/>
    <n v="15110.190716942434"/>
    <n v="8702.19"/>
    <n v="605.99599999999998"/>
    <n v="2183181.7518000002"/>
    <n v="5.0431880314726688E-2"/>
    <n v="5.0431880314726688E-2"/>
    <n v="4034.5504251781349"/>
    <n v="1765.6882798747811"/>
    <n v="2532141.3162500001"/>
    <n v="2.5119073269985498E-2"/>
    <n v="2.5119073269985498E-2"/>
    <n v="2009.5258615988398"/>
    <n v="2434.7231636095039"/>
    <n v="3777.5476792356085"/>
    <n v="4461.3229489147479"/>
    <n v="5288.5667509298519"/>
    <n v="40.455409020446183"/>
  </r>
  <r>
    <s v="2023-Iceland"/>
    <x v="12"/>
    <x v="0"/>
    <n v="2"/>
    <n v="2"/>
    <n v="3000"/>
    <s v=""/>
    <n v="1856.1583928117816"/>
    <n v="1233.1099999999999"/>
    <n v="72.709000000000003"/>
    <n v="209457.37880000001"/>
    <n v="4.9156726876954607E-3"/>
    <n v="4.9156726876954607E-3"/>
    <n v="393.25381501563686"/>
    <n v="172.10434348667172"/>
    <n v="459985.05609999999"/>
    <n v="4.3651192763634475E-3"/>
    <n v="4.3651192763634475E-3"/>
    <n v="349.20954210907581"/>
    <n v="423.09908888157707"/>
    <n v="464.03959820294534"/>
    <n v="632.17491139263677"/>
    <n v="649.65543748412347"/>
    <n v="5.7325808747099876"/>
  </r>
  <r>
    <s v="2023-Ireland"/>
    <x v="13"/>
    <x v="0"/>
    <n v="2"/>
    <n v="2"/>
    <n v="10000"/>
    <s v=""/>
    <n v="7140.0712652348093"/>
    <n v="4768.32"/>
    <n v="1209.9290000000001"/>
    <n v="568931.02560000005"/>
    <n v="1.8714818634174568E-2"/>
    <n v="1.8714818634174568E-2"/>
    <n v="1497.1854907339655"/>
    <n v="655.23109025730321"/>
    <n v="1222389.4747500001"/>
    <n v="1.6985537691999484E-2"/>
    <n v="1.6985537691999484E-2"/>
    <n v="1358.8430153599588"/>
    <n v="1646.3617753959172"/>
    <n v="1785.0178163087021"/>
    <n v="2444.5579221828884"/>
    <n v="2499.0249428321831"/>
    <n v="22.167323851804529"/>
  </r>
  <r>
    <s v="2023-Italy"/>
    <x v="14"/>
    <x v="0"/>
    <n v="2"/>
    <n v="2"/>
    <n v="52000"/>
    <s v=""/>
    <n v="37650.466338238533"/>
    <n v="23137.040000000001"/>
    <n v="5995.4470000000001"/>
    <n v="3817558.8108000001"/>
    <n v="0.11433080156548237"/>
    <n v="0.11433080156548237"/>
    <n v="9146.46412523859"/>
    <n v="4002.875861321244"/>
    <n v="4873094.8019000003"/>
    <n v="7.3921530125710261E-2"/>
    <n v="7.3921530125710261E-2"/>
    <n v="5913.722410056821"/>
    <n v="7165.0120110752177"/>
    <n v="9412.6165845596315"/>
    <n v="11861.589067260487"/>
    <n v="13177.663218383484"/>
    <n v="107.56124200002309"/>
  </r>
  <r>
    <s v="2023-Lithuania"/>
    <x v="15"/>
    <x v="0"/>
    <n v="2"/>
    <n v="2"/>
    <n v="2000"/>
    <s v=""/>
    <n v="1394.2108212895846"/>
    <n v="856.39"/>
    <n v="164.98000000000002"/>
    <n v="155469.64230000001"/>
    <n v="4.2366772793730181E-3"/>
    <n v="4.2366772793730181E-3"/>
    <n v="338.93418234984142"/>
    <n v="148.33179669520027"/>
    <n v="215025.27984999999"/>
    <n v="2.7343768270749057E-3"/>
    <n v="2.7343768270749057E-3"/>
    <n v="218.75014616599245"/>
    <n v="265.03567736598171"/>
    <n v="348.55270532239609"/>
    <n v="439.04408488953129"/>
    <n v="487.9737874513545"/>
    <n v="3.9812648031979303"/>
  </r>
  <r>
    <s v="2023-Luxembourg"/>
    <x v="16"/>
    <x v="0"/>
    <n v="2"/>
    <n v="2"/>
    <n v="6000"/>
    <s v=""/>
    <n v="4155.7224498904807"/>
    <n v="3663.61"/>
    <n v="214.81399999999996"/>
    <n v="130817.90609999999"/>
    <n v="3.9674303056855872E-3"/>
    <n v="3.9674303056855872E-3"/>
    <n v="317.39442445484696"/>
    <n v="138.90509630519267"/>
    <n v="1811438.1444000001"/>
    <n v="1.6811181943766816E-2"/>
    <n v="1.6811181943766816E-2"/>
    <n v="1344.8945555013454"/>
    <n v="1629.461948942615"/>
    <n v="1038.9306124726202"/>
    <n v="1878.2104056274043"/>
    <n v="1454.5028574616681"/>
    <n v="17.031667748822898"/>
  </r>
  <r>
    <s v="2023-Malta"/>
    <x v="17"/>
    <x v="0"/>
    <n v="2"/>
    <n v="2"/>
    <n v="2000"/>
    <s v=""/>
    <n v="1414.8105831265809"/>
    <n v="816.85"/>
    <n v="45.936"/>
    <n v="206328.51855000001"/>
    <n v="4.7061811318289681E-3"/>
    <n v="4.7061811318289681E-3"/>
    <n v="376.49449054631748"/>
    <n v="164.76976102379686"/>
    <n v="245544.19889999999"/>
    <n v="2.3678717838039377E-3"/>
    <n v="2.3678717838039377E-3"/>
    <n v="189.429742704315"/>
    <n v="229.5113445675351"/>
    <n v="353.70264578164523"/>
    <n v="418.77215324386577"/>
    <n v="495.18370409430332"/>
    <n v="3.7974383248750772"/>
  </r>
  <r>
    <s v="2023-Netherlands"/>
    <x v="18"/>
    <x v="0"/>
    <n v="2"/>
    <n v="2"/>
    <n v="33000"/>
    <s v=""/>
    <n v="23758.779284109485"/>
    <n v="18253.21"/>
    <n v="2737.8869999999997"/>
    <n v="1348457.4620999999"/>
    <n v="4.3669368072012334E-2"/>
    <n v="4.3669368072012334E-2"/>
    <n v="3493.5494457609866"/>
    <n v="1528.9235878792756"/>
    <n v="7006377.4775999999"/>
    <n v="7.5124528348535086E-2"/>
    <n v="7.5124528348535086E-2"/>
    <n v="6009.9622678828073"/>
    <n v="7281.6153430298427"/>
    <n v="5939.6948210273704"/>
    <n v="9357.811741453208"/>
    <n v="8315.5727494383191"/>
    <n v="84.856914837092106"/>
  </r>
  <r>
    <s v="2023-Norway"/>
    <x v="19"/>
    <x v="0"/>
    <n v="2"/>
    <n v="2"/>
    <n v="12000"/>
    <s v=""/>
    <n v="8335.1777446674932"/>
    <n v="4627.37"/>
    <n v="1204.1390000000001"/>
    <n v="1053627.8004000001"/>
    <n v="2.9168083208491232E-2"/>
    <n v="2.9168083208491232E-2"/>
    <n v="2333.4466566792985"/>
    <n v="1021.2140088024096"/>
    <n v="708422.06720000005"/>
    <n v="1.2507805514846235E-2"/>
    <n v="1.2507805514846235E-2"/>
    <n v="1000.6244411876988"/>
    <n v="1212.3474256236527"/>
    <n v="2083.7944361668729"/>
    <n v="2372.3006708481303"/>
    <n v="2917.3122106336223"/>
    <n v="21.512092950362636"/>
  </r>
  <r>
    <s v="2023-Portugal"/>
    <x v="20"/>
    <x v="0"/>
    <n v="2"/>
    <n v="2"/>
    <n v="16000"/>
    <s v=""/>
    <n v="10921.091299084546"/>
    <n v="6946.82"/>
    <n v="710.79200000000003"/>
    <n v="1274250.4393499999"/>
    <n v="3.1326900721193547E-2"/>
    <n v="3.1326900721193547E-2"/>
    <n v="2506.1520576954836"/>
    <n v="1096.7971271945632"/>
    <n v="2255269.1946999999"/>
    <n v="2.3278555774229198E-2"/>
    <n v="2.3278555774229198E-2"/>
    <n v="1862.2844619383359"/>
    <n v="2256.3268298044309"/>
    <n v="2730.2728247711366"/>
    <n v="3561.4056054248076"/>
    <n v="3822.3819546795912"/>
    <n v="32.294931818423613"/>
  </r>
  <r>
    <s v="2023-Romania"/>
    <x v="21"/>
    <x v="0"/>
    <n v="2"/>
    <n v="2"/>
    <n v="9000"/>
    <s v=""/>
    <n v="5945.9603211257263"/>
    <n v="3549.27"/>
    <n v="740.84799999999996"/>
    <n v="691052.69204999995"/>
    <n v="1.8871607064494627E-2"/>
    <n v="1.8871607064494627E-2"/>
    <n v="1509.7285651595701"/>
    <n v="660.72046507554194"/>
    <n v="801391.24265000003"/>
    <n v="1.0858194541134012E-2"/>
    <n v="1.0858194541134012E-2"/>
    <n v="868.65556329072103"/>
    <n v="1052.4551395718156"/>
    <n v="1486.4900802814316"/>
    <n v="1819.5907099505907"/>
    <n v="2081.086112394004"/>
    <n v="16.500102607178881"/>
  </r>
  <r>
    <s v="2023-Slovakia"/>
    <x v="22"/>
    <x v="0"/>
    <n v="2"/>
    <n v="2"/>
    <n v="2000"/>
    <s v=""/>
    <n v="967.14193722376785"/>
    <n v="635.04"/>
    <n v="316.04499999999996"/>
    <n v="43707.632850000002"/>
    <n v="2.6194588367441599E-3"/>
    <n v="2.6194588367441599E-3"/>
    <n v="209.5567069395328"/>
    <n v="91.710793624781715"/>
    <n v="62662.561350000004"/>
    <n v="2.216250849374679E-3"/>
    <n v="2.216250849374679E-3"/>
    <n v="177.30006794997433"/>
    <n v="214.81514151994367"/>
    <n v="241.78548430594194"/>
    <n v="325.56600878230927"/>
    <n v="338.49967802831867"/>
    <n v="2.9522422382908688"/>
  </r>
  <r>
    <s v="2023-Slovenia"/>
    <x v="23"/>
    <x v="0"/>
    <n v="2"/>
    <n v="2"/>
    <n v="1000"/>
    <s v=""/>
    <n v="522.3008866576057"/>
    <n v="345.8"/>
    <n v="161.92000000000002"/>
    <n v="24722.677350000002"/>
    <n v="1.3924273208510106E-3"/>
    <n v="1.3924273208510106E-3"/>
    <n v="111.39418566808085"/>
    <n v="48.750762130241917"/>
    <n v="41768.463000000003"/>
    <n v="1.2190771124370183E-3"/>
    <n v="1.2190771124370183E-3"/>
    <n v="97.526168994961466"/>
    <n v="118.16181480799948"/>
    <n v="130.57522166440143"/>
    <n v="177.28046882459188"/>
    <n v="182.805310330162"/>
    <n v="1.6075845572623157"/>
  </r>
  <r>
    <s v="2023-Spain"/>
    <x v="24"/>
    <x v="0"/>
    <n v="2"/>
    <n v="2"/>
    <n v="60000"/>
    <s v=""/>
    <n v="43494.766385871684"/>
    <n v="27956.46"/>
    <n v="4095.2979999999998"/>
    <n v="4660787.3476499999"/>
    <n v="0.12250478058101527"/>
    <n v="0.12250478058101527"/>
    <n v="9800.3824464812224"/>
    <n v="4289.0579123889365"/>
    <n v="8468905.9103500005"/>
    <n v="9.4969051348343159E-2"/>
    <n v="9.4969051348343159E-2"/>
    <n v="7597.5241078674526"/>
    <n v="9205.0907554825153"/>
    <n v="10873.691596467919"/>
    <n v="14332.347185042498"/>
    <n v="15223.168235055087"/>
    <n v="129.96615000377429"/>
  </r>
  <r>
    <s v="2023-Sweden"/>
    <x v="25"/>
    <x v="0"/>
    <n v="2"/>
    <n v="2"/>
    <n v="12000"/>
    <s v=""/>
    <n v="8158.3754670853496"/>
    <n v="5109.91"/>
    <n v="1630.8220000000001"/>
    <n v="711241.57755000005"/>
    <n v="2.4022419334052567E-2"/>
    <n v="2.4022419334052567E-2"/>
    <n v="1921.7935467242053"/>
    <n v="841.05736307412621"/>
    <n v="939749.54009999998"/>
    <n v="1.6769458001374186E-2"/>
    <n v="1.6769458001374186E-2"/>
    <n v="1341.556640109935"/>
    <n v="1625.417761168306"/>
    <n v="2039.5938667713374"/>
    <n v="2619.6819580089514"/>
    <n v="2855.4314134798724"/>
    <n v="23.755353810581234"/>
  </r>
  <r>
    <s v="2023-Switzerland"/>
    <x v="26"/>
    <x v="0"/>
    <n v="2"/>
    <n v="2"/>
    <n v="17000"/>
    <s v=""/>
    <n v="11669.710484085299"/>
    <n v="8429.75"/>
    <n v="2220.2399999999998"/>
    <n v="641037.2598"/>
    <n v="2.5626013545164399E-2"/>
    <n v="2.5626013545164399E-2"/>
    <n v="2050.0810836131518"/>
    <n v="897.20136338831617"/>
    <n v="2422684.0796500002"/>
    <n v="3.2722538875262094E-2"/>
    <n v="3.2722538875262094E-2"/>
    <n v="2617.8031100209673"/>
    <n v="3171.7063171637901"/>
    <n v="2917.4276210213243"/>
    <n v="4321.6507374345993"/>
    <n v="4084.3986694298537"/>
    <n v="39.188857257903599"/>
  </r>
  <r>
    <s v="2023-United Kingdom"/>
    <x v="27"/>
    <x v="0"/>
    <n v="2"/>
    <n v="2"/>
    <n v="78000"/>
    <s v=""/>
    <n v="56055.664281439582"/>
    <n v="40227.040000000001"/>
    <n v="8543.74"/>
    <n v="3694354.6972500002"/>
    <n v="0.12516403822383701"/>
    <n v="0.12516403822383701"/>
    <n v="10013.123057906962"/>
    <n v="4382.1621159957704"/>
    <n v="12696872.37575"/>
    <n v="0.1551142831833609"/>
    <n v="0.1551142831833609"/>
    <n v="12409.142654668873"/>
    <n v="15034.80380084225"/>
    <n v="14013.916070359894"/>
    <n v="20623.06438514707"/>
    <n v="19619.48249850385"/>
    <n v="187.01056043456231"/>
  </r>
  <r>
    <s v="2024-Austria"/>
    <x v="0"/>
    <x v="1"/>
    <n v="2"/>
    <n v="2"/>
    <n v="11000"/>
    <s v=""/>
    <n v="8263.1637777933702"/>
    <n v="6094.45"/>
    <n v="1360.2350000000001"/>
    <n v="1057955.8342500001"/>
    <n v="1.9977209711427166E-2"/>
    <n v="1.9977209711427166E-2"/>
    <n v="1917.812132297008"/>
    <n v="632.53499496726749"/>
    <n v="2093495.47275"/>
    <n v="1.8039034508763655E-2"/>
    <n v="1.8039034508763655E-2"/>
    <n v="1118.4201395433465"/>
    <n v="340.34011900235771"/>
    <n v="1691.0660754553874"/>
    <n v="2409.3548307128231"/>
    <n v="3535.865430497628"/>
    <n v="2712.2205649797547"/>
  </r>
  <r>
    <s v="2024-Belgium"/>
    <x v="1"/>
    <x v="1"/>
    <n v="2"/>
    <n v="2"/>
    <n v="21000"/>
    <s v=""/>
    <n v="11976.693734094726"/>
    <n v="8753.36"/>
    <n v="1655.181"/>
    <n v="1241092.6605"/>
    <n v="2.3742772389508286E-2"/>
    <n v="2.3742772389508286E-2"/>
    <n v="2279.3061493927953"/>
    <n v="751.76336589769471"/>
    <n v="4879967.0153999999"/>
    <n v="3.4216652878772118E-2"/>
    <n v="3.4216652878772118E-2"/>
    <n v="2121.4324784838714"/>
    <n v="645.5611416989193"/>
    <n v="2451.0442990705483"/>
    <n v="3460.5166728074319"/>
    <n v="5124.9108071475102"/>
    <n v="3895.5177401855826"/>
  </r>
  <r>
    <s v="2024-Bulgaria"/>
    <x v="2"/>
    <x v="1"/>
    <n v="2"/>
    <n v="2"/>
    <n v="4000"/>
    <s v=""/>
    <n v="2679.1273775191585"/>
    <n v="1989.28"/>
    <n v="223.38600000000002"/>
    <n v="505765.68839999998"/>
    <n v="7.344070111767494E-3"/>
    <n v="7.344070111767494E-3"/>
    <n v="705.03073072967948"/>
    <n v="232.53404345697518"/>
    <n v="637386.45655"/>
    <n v="4.5063357627256138E-3"/>
    <n v="4.5063357627256138E-3"/>
    <n v="279.39281728898806"/>
    <n v="85.020451011695002"/>
    <n v="548.28653307368825"/>
    <n v="786.43337081654113"/>
    <n v="1146.4172964268027"/>
    <n v="885.29125478953051"/>
  </r>
  <r>
    <s v="2024-Croatia"/>
    <x v="3"/>
    <x v="1"/>
    <n v="2"/>
    <n v="2"/>
    <n v="3000"/>
    <s v=""/>
    <n v="2465.8866604949121"/>
    <n v="1834.24"/>
    <n v="187.80700000000002"/>
    <n v="490546.97369999997"/>
    <n v="6.9739449784815121E-3"/>
    <n v="6.9739449784815121E-3"/>
    <n v="669.49871793422517"/>
    <n v="220.81483428301379"/>
    <n v="541014.79299999995"/>
    <n v="3.815665553131255E-3"/>
    <n v="3.815665553131255E-3"/>
    <n v="236.57126429413782"/>
    <n v="71.989665954405481"/>
    <n v="504.64657238035409"/>
    <n v="725.13925679828412"/>
    <n v="1055.170105886195"/>
    <n v="816.2922205114013"/>
  </r>
  <r>
    <s v="2024-Cyprus"/>
    <x v="4"/>
    <x v="1"/>
    <n v="2"/>
    <n v="2"/>
    <n v="4000"/>
    <s v=""/>
    <n v="2986.2142165102405"/>
    <n v="2222.81"/>
    <n v="79.363"/>
    <n v="664752.66165000002"/>
    <n v="8.5454228683154165E-3"/>
    <n v="8.5454228683154165E-3"/>
    <n v="820.36059535827997"/>
    <n v="270.57227155758346"/>
    <n v="771281.96354999999"/>
    <n v="4.4661211629616511E-3"/>
    <n v="4.4661211629616511E-3"/>
    <n v="276.89951210362238"/>
    <n v="84.261727385846285"/>
    <n v="611.13221175093292"/>
    <n v="878.75719830797641"/>
    <n v="1277.8218972974053"/>
    <n v="989.22056414984218"/>
  </r>
  <r>
    <s v="2024-Czech Republic"/>
    <x v="5"/>
    <x v="1"/>
    <n v="2"/>
    <n v="2"/>
    <n v="5000"/>
    <s v=""/>
    <n v="3792.3227329055007"/>
    <n v="2796.96"/>
    <n v="780.31400000000008"/>
    <n v="419390.03610000003"/>
    <n v="9.1652970977666726E-3"/>
    <n v="9.1652970977666726E-3"/>
    <n v="879.86852138560062"/>
    <n v="290.19924390607957"/>
    <n v="808354.26064999995"/>
    <n v="8.2837032109250135E-3"/>
    <n v="8.2837032109250135E-3"/>
    <n v="513.58959907735084"/>
    <n v="156.2875515991048"/>
    <n v="776.10325696670702"/>
    <n v="1105.7381385885576"/>
    <n v="1622.761355475842"/>
    <n v="1244.73393488291"/>
  </r>
  <r>
    <s v="2024-Denmark"/>
    <x v="6"/>
    <x v="1"/>
    <n v="2"/>
    <n v="2"/>
    <n v="10000"/>
    <s v=""/>
    <n v="8117.4414547461438"/>
    <n v="5994.46"/>
    <n v="1100.0250000000001"/>
    <n v="1178897.30595"/>
    <n v="2.0112487187606311E-2"/>
    <n v="2.0112487187606311E-2"/>
    <n v="1930.7987700102058"/>
    <n v="636.81826269835676"/>
    <n v="2145166.7595000002"/>
    <n v="1.6965951940941568E-2"/>
    <n v="1.6965951940941568E-2"/>
    <n v="1051.8890203383771"/>
    <n v="320.09440969599223"/>
    <n v="1661.2438325992109"/>
    <n v="2369.8233583099181"/>
    <n v="3473.5098317983498"/>
    <n v="2667.7198251765735"/>
  </r>
  <r>
    <s v="2024-Estonia"/>
    <x v="7"/>
    <x v="1"/>
    <n v="2"/>
    <n v="2"/>
    <n v="2000"/>
    <s v=""/>
    <n v="791.83514873494596"/>
    <n v="586.54"/>
    <n v="99.646000000000001"/>
    <n v="127821.0906"/>
    <n v="2.0792649046234356E-3"/>
    <n v="2.0792649046234356E-3"/>
    <n v="199.60943084384982"/>
    <n v="65.835411200058061"/>
    <n v="182230.98180000001"/>
    <n v="1.4732895062740448E-3"/>
    <n v="1.4732895062740448E-3"/>
    <n v="91.343949388990779"/>
    <n v="27.796361587236586"/>
    <n v="162.04998392715171"/>
    <n v="231.88193513635005"/>
    <n v="338.83178457495359"/>
    <n v="261.03044064208746"/>
  </r>
  <r>
    <s v="2024-Finland"/>
    <x v="8"/>
    <x v="1"/>
    <n v="2"/>
    <n v="2"/>
    <n v="7000"/>
    <s v=""/>
    <n v="6130.8773811841329"/>
    <n v="4527.6000000000004"/>
    <n v="836.798"/>
    <n v="888690.19680000003"/>
    <n v="1.5200524308524466E-2"/>
    <n v="1.5200524308524466E-2"/>
    <n v="1459.2503336183488"/>
    <n v="481.29161709167778"/>
    <n v="1611327.2556499999"/>
    <n v="1.2798236413023367E-2"/>
    <n v="1.2798236413023367E-2"/>
    <n v="793.49065760744872"/>
    <n v="241.46266263377814"/>
    <n v="1254.6911849865203"/>
    <n v="1789.9229718905758"/>
    <n v="2623.4452049718152"/>
    <n v="2014.923593738584"/>
  </r>
  <r>
    <s v="2024-France"/>
    <x v="9"/>
    <x v="1"/>
    <n v="2"/>
    <n v="2"/>
    <n v="66000"/>
    <s v=""/>
    <n v="48964.423519379663"/>
    <n v="35982.519999999997"/>
    <n v="8322.5149999999994"/>
    <n v="5461140.7021500003"/>
    <n v="0.10984570890488141"/>
    <n v="0.10984570890488141"/>
    <n v="10545.188054868615"/>
    <n v="3478.0260072847464"/>
    <n v="14659628.38995"/>
    <n v="0.12010307773700236"/>
    <n v="0.12010307773700236"/>
    <n v="7446.3908196941466"/>
    <n v="2265.9691542639175"/>
    <n v="10020.626208617234"/>
    <n v="14225.178845000697"/>
    <n v="20952.218436199673"/>
    <n v="16013.34187563862"/>
  </r>
  <r>
    <s v="2024-Germany"/>
    <x v="10"/>
    <x v="1"/>
    <n v="2"/>
    <n v="2"/>
    <n v="95000"/>
    <s v=""/>
    <n v="66944.640748707694"/>
    <n v="49027.72"/>
    <n v="12037.976999999999"/>
    <n v="6293848.4784000004"/>
    <n v="0.1392385234749528"/>
    <n v="0.1392385234749528"/>
    <n v="13366.898253595469"/>
    <n v="4408.6856982384397"/>
    <n v="22617042.74385"/>
    <n v="0.181151049859331"/>
    <n v="0.181151049859331"/>
    <n v="11231.365091278522"/>
    <n v="3417.7533080595163"/>
    <n v="13700.298571828553"/>
    <n v="19382.414408939218"/>
    <n v="28646.078832005154"/>
    <n v="21818.862995506508"/>
  </r>
  <r>
    <s v="2024-Greece"/>
    <x v="11"/>
    <x v="1"/>
    <n v="2"/>
    <n v="2"/>
    <n v="21000"/>
    <s v=""/>
    <n v="15747.21205504741"/>
    <n v="11719.78"/>
    <n v="609.06999999999994"/>
    <n v="3415496.4396000002"/>
    <n v="4.4946715441041618E-2"/>
    <n v="4.4946715441041618E-2"/>
    <n v="4314.8846823399954"/>
    <n v="1423.1402100680759"/>
    <n v="3914042.4759"/>
    <n v="2.3730648585569877E-2"/>
    <n v="2.3730648585569877E-2"/>
    <n v="1471.3002123053325"/>
    <n v="447.72306187963073"/>
    <n v="3222.6852577771447"/>
    <n v="4633.249835611623"/>
    <n v="6738.3419026249385"/>
    <n v="5215.6682472199673"/>
  </r>
  <r>
    <s v="2024-Iceland"/>
    <x v="12"/>
    <x v="1"/>
    <n v="2"/>
    <n v="2"/>
    <n v="3000"/>
    <s v=""/>
    <n v="2254.1988525494025"/>
    <n v="1663.91"/>
    <n v="71.77"/>
    <n v="422160.13309999998"/>
    <n v="5.5373267536830079E-3"/>
    <n v="5.5373267536830079E-3"/>
    <n v="531.58336835356874"/>
    <n v="175.32743565631696"/>
    <n v="839485.45900000003"/>
    <n v="4.7855427723469991E-3"/>
    <n v="4.7855427723469991E-3"/>
    <n v="296.70365188551392"/>
    <n v="90.288213365310426"/>
    <n v="461.32441633569164"/>
    <n v="657.80523922740656"/>
    <n v="964.58741597462802"/>
    <n v="740.49404215657103"/>
  </r>
  <r>
    <s v="2024-Ireland"/>
    <x v="13"/>
    <x v="1"/>
    <n v="2"/>
    <n v="2"/>
    <n v="10000"/>
    <s v=""/>
    <n v="9540.8279058798016"/>
    <n v="7030.63"/>
    <n v="1329.394"/>
    <n v="1290601.9759500001"/>
    <n v="2.2664948485411462E-2"/>
    <n v="2.2664948485411462E-2"/>
    <n v="2175.8350545995004"/>
    <n v="717.63641085234065"/>
    <n v="2772326.1415499998"/>
    <n v="2.1449427443781831E-2"/>
    <n v="2.1449427443781831E-2"/>
    <n v="1329.8645015144734"/>
    <n v="404.6835591562641"/>
    <n v="1952.5415249242385"/>
    <n v="2779.4595652799562"/>
    <n v="4082.5868248415895"/>
    <n v="3128.8489749978712"/>
  </r>
  <r>
    <s v="2024-Italy"/>
    <x v="14"/>
    <x v="1"/>
    <n v="2"/>
    <n v="2"/>
    <n v="52000"/>
    <s v=""/>
    <n v="42380.709136316837"/>
    <n v="31406.91"/>
    <n v="6022.9780000000001"/>
    <n v="6623533.9012500001"/>
    <n v="0.11218672789080537"/>
    <n v="0.11218672789080537"/>
    <n v="10769.925877517317"/>
    <n v="3552.1492934628295"/>
    <n v="8810552.7895"/>
    <n v="7.7460011860675651E-2"/>
    <n v="7.7460011860675651E-2"/>
    <n v="4802.5207353618907"/>
    <n v="1461.4279739738256"/>
    <n v="8673.2614046415856"/>
    <n v="12416.276698827804"/>
    <n v="18135.001118796041"/>
    <n v="13977.0533479606"/>
  </r>
  <r>
    <s v="2024-Lithuania"/>
    <x v="15"/>
    <x v="1"/>
    <n v="2"/>
    <n v="2"/>
    <n v="2000"/>
    <s v=""/>
    <n v="1544.0626543472779"/>
    <n v="1144.98"/>
    <n v="178.048"/>
    <n v="262641.90015"/>
    <n v="4.1344001141962964E-3"/>
    <n v="4.1344001141962964E-3"/>
    <n v="396.90241096284444"/>
    <n v="130.90680796777792"/>
    <n v="347807.85155000002"/>
    <n v="2.7492071520197605E-3"/>
    <n v="2.7492071520197605E-3"/>
    <n v="170.45084342522514"/>
    <n v="51.868933940227059"/>
    <n v="315.99421763386152"/>
    <n v="452.64968789912035"/>
    <n v="660.71518232534686"/>
    <n v="509.54960083170607"/>
  </r>
  <r>
    <s v="2024-Luxembourg"/>
    <x v="16"/>
    <x v="1"/>
    <n v="2"/>
    <n v="2"/>
    <n v="6000"/>
    <s v=""/>
    <n v="2850.1128378303329"/>
    <n v="2053.2600000000002"/>
    <n v="229.32900000000001"/>
    <n v="206204.74244999999"/>
    <n v="3.7087491413843533E-3"/>
    <n v="3.7087491413843533E-3"/>
    <n v="356.03991757289793"/>
    <n v="117.42949357629875"/>
    <n v="1894632.47385"/>
    <n v="1.1148562033790188E-2"/>
    <n v="1.1148562033790188E-2"/>
    <n v="691.21084609499167"/>
    <n v="210.33847057845509"/>
    <n v="583.27890634667278"/>
    <n v="811.72733935696044"/>
    <n v="1219.5831678157704"/>
    <n v="913.76477839459437"/>
  </r>
  <r>
    <s v="2024-Malta"/>
    <x v="17"/>
    <x v="1"/>
    <n v="2"/>
    <n v="2"/>
    <n v="2000"/>
    <s v=""/>
    <n v="1519.6407970435434"/>
    <n v="1131.51"/>
    <n v="48.671999999999997"/>
    <n v="336667.68764999998"/>
    <n v="4.3716935501040216E-3"/>
    <n v="4.3716935501040216E-3"/>
    <n v="419.68258080998606"/>
    <n v="138.42018968904011"/>
    <n v="377563.81929999997"/>
    <n v="2.2370493692642863E-3"/>
    <n v="2.2370493692642863E-3"/>
    <n v="138.69706089438574"/>
    <n v="42.206119633491284"/>
    <n v="310.99625613914378"/>
    <n v="447.32655267987155"/>
    <n v="650.26489920002791"/>
    <n v="503.55732579285552"/>
  </r>
  <r>
    <s v="2024-Netherlands"/>
    <x v="18"/>
    <x v="1"/>
    <n v="2"/>
    <n v="2"/>
    <n v="33000"/>
    <s v=""/>
    <n v="20795.648940658211"/>
    <n v="15183.1"/>
    <n v="2832.88"/>
    <n v="2088507.7426499999"/>
    <n v="4.0200002600606466E-2"/>
    <n v="4.0200002600606466E-2"/>
    <n v="3859.2002496582209"/>
    <n v="1272.8458483425604"/>
    <n v="8815649.1642499994"/>
    <n v="6.0999865914139625E-2"/>
    <n v="6.0999865914139625E-2"/>
    <n v="3781.9916866766566"/>
    <n v="1150.8765402195033"/>
    <n v="4255.8537366928431"/>
    <n v="6002.4222650340625"/>
    <n v="8898.6032676304894"/>
    <n v="6756.9512383118899"/>
  </r>
  <r>
    <s v="2024-Norway"/>
    <x v="19"/>
    <x v="1"/>
    <n v="2"/>
    <n v="2"/>
    <n v="12000"/>
    <s v=""/>
    <n v="10130.121512410471"/>
    <n v="7548.03"/>
    <n v="1266.6689999999999"/>
    <n v="1874259.5759999999"/>
    <n v="2.9483593745696215E-2"/>
    <n v="2.9483593745696215E-2"/>
    <n v="2830.4249995868367"/>
    <n v="933.53401655904258"/>
    <n v="1490401.1967499999"/>
    <n v="1.4383962833402642E-2"/>
    <n v="1.4383962833402642E-2"/>
    <n v="891.80569567096381"/>
    <n v="271.3803568626393"/>
    <n v="2073.1411467258636"/>
    <n v="2984.0071192215551"/>
    <n v="4334.749670426806"/>
    <n v="3359.1089911834388"/>
  </r>
  <r>
    <s v="2024-Portugal"/>
    <x v="20"/>
    <x v="1"/>
    <n v="2"/>
    <n v="2"/>
    <n v="16000"/>
    <s v=""/>
    <n v="12603.812067821837"/>
    <n v="9312.9599999999991"/>
    <n v="723.0139999999999"/>
    <n v="2275539.8462999999"/>
    <n v="3.1584775444137542E-2"/>
    <n v="3.1584775444137542E-2"/>
    <n v="3032.1384426372042"/>
    <n v="1000.0633754759016"/>
    <n v="4193819.7765000002"/>
    <n v="2.579080181477315E-2"/>
    <n v="2.579080181477315E-2"/>
    <n v="1599.0297125159352"/>
    <n v="486.59170503508909"/>
    <n v="2579.3847952751662"/>
    <n v="3681.7465555447934"/>
    <n v="5393.2591173935298"/>
    <n v="4144.5571219734493"/>
  </r>
  <r>
    <s v="2024-Romania"/>
    <x v="21"/>
    <x v="1"/>
    <n v="2"/>
    <n v="2"/>
    <n v="9000"/>
    <s v=""/>
    <n v="6113.5885551302617"/>
    <n v="4538.88"/>
    <n v="788.30099999999993"/>
    <n v="1033713.30195"/>
    <n v="1.6724680787479011E-2"/>
    <n v="1.6724680787479011E-2"/>
    <n v="1605.5693555979851"/>
    <n v="529.55072457821404"/>
    <n v="1190729.9697499999"/>
    <n v="1.0335790277698712E-2"/>
    <n v="1.0335790277698712E-2"/>
    <n v="640.8189972173202"/>
    <n v="195.00401151660549"/>
    <n v="1251.1530066313094"/>
    <n v="1794.3818568889942"/>
    <n v="2616.0471956836468"/>
    <n v="2019.9429787770312"/>
  </r>
  <r>
    <s v="2024-Slovakia"/>
    <x v="22"/>
    <x v="1"/>
    <n v="2"/>
    <n v="2"/>
    <n v="2000"/>
    <s v=""/>
    <n v="1113.0442617344484"/>
    <n v="821.52"/>
    <n v="328.94800000000004"/>
    <n v="84148.410149999996"/>
    <n v="2.7298675085553302E-3"/>
    <n v="2.7298675085553302E-3"/>
    <n v="262.06728082131173"/>
    <n v="86.435330845910968"/>
    <n v="127309.9041"/>
    <n v="2.3695447337163844E-3"/>
    <n v="2.3695447337163844E-3"/>
    <n v="146.91177349041584"/>
    <n v="44.705892450211643"/>
    <n v="227.78580240146852"/>
    <n v="324.77523097992093"/>
    <n v="476.27940502125233"/>
    <n v="365.60080285027294"/>
  </r>
  <r>
    <s v="2024-Slovenia"/>
    <x v="23"/>
    <x v="1"/>
    <n v="2"/>
    <n v="2"/>
    <n v="1000"/>
    <s v=""/>
    <n v="574.25468306486334"/>
    <n v="423.44"/>
    <n v="169.792"/>
    <n v="41235.289199999999"/>
    <n v="1.3821513686998873E-3"/>
    <n v="1.3821513686998873E-3"/>
    <n v="132.68653139518918"/>
    <n v="43.762823821411857"/>
    <n v="73343.196949999998"/>
    <n v="1.2632044795317728E-3"/>
    <n v="1.2632044795317728E-3"/>
    <n v="78.31867773096991"/>
    <n v="23.832714698743615"/>
    <n v="117.52188862722785"/>
    <n v="167.4024085205001"/>
    <n v="245.72758531147642"/>
    <n v="188.44557440388061"/>
  </r>
  <r>
    <s v="2024-Spain"/>
    <x v="24"/>
    <x v="1"/>
    <n v="2"/>
    <n v="2"/>
    <n v="60000"/>
    <s v=""/>
    <n v="49048.950850339032"/>
    <n v="36232.44"/>
    <n v="4098.7449999999999"/>
    <n v="8260405.5397500005"/>
    <n v="0.12227405973024361"/>
    <n v="0.12227405973024361"/>
    <n v="11738.309734103386"/>
    <n v="3871.5427666485493"/>
    <n v="15246497.447799999"/>
    <n v="0.10136012935818123"/>
    <n v="0.10136012935818123"/>
    <n v="6284.3280202072365"/>
    <n v="1912.3483837839885"/>
    <n v="10037.924825185662"/>
    <n v="14323.982475768076"/>
    <n v="20988.388270842748"/>
    <n v="16124.56552598931"/>
  </r>
  <r>
    <s v="2024-Sweden"/>
    <x v="25"/>
    <x v="1"/>
    <n v="2"/>
    <n v="2"/>
    <n v="12000"/>
    <s v=""/>
    <n v="9770.7292754499795"/>
    <n v="7236.25"/>
    <n v="1717.79"/>
    <n v="1364008.0576500001"/>
    <n v="2.5570588026131741E-2"/>
    <n v="2.5570588026131741E-2"/>
    <n v="2454.776450508647"/>
    <n v="809.63718167144486"/>
    <n v="1794172.3637999999"/>
    <n v="1.8312878912317261E-2"/>
    <n v="1.8312878912317261E-2"/>
    <n v="1135.3984925636703"/>
    <n v="345.50670576443116"/>
    <n v="1999.5911075339491"/>
    <n v="2860.7489958355659"/>
    <n v="4180.9632248437119"/>
    <n v="3220.3568186985808"/>
  </r>
  <r>
    <s v="2024-Switzerland"/>
    <x v="26"/>
    <x v="1"/>
    <n v="2"/>
    <n v="2"/>
    <n v="17000"/>
    <s v=""/>
    <n v="12446.676846368391"/>
    <n v="9112.6299999999992"/>
    <n v="2260.5569999999998"/>
    <n v="1145599.4560499999"/>
    <n v="2.5702805673399907E-2"/>
    <n v="2.5702805673399907E-2"/>
    <n v="2467.4693446463912"/>
    <n v="813.82356655989679"/>
    <n v="4237563.1277999999"/>
    <n v="3.3967108909537039E-2"/>
    <n v="3.3967108909537039E-2"/>
    <n v="2105.9607523912964"/>
    <n v="640.853028072077"/>
    <n v="2547.2268894893455"/>
    <n v="3602.5508619504594"/>
    <n v="5326.0198598413581"/>
    <n v="4055.4062065141275"/>
  </r>
  <r>
    <s v="2024-United Kingdom"/>
    <x v="27"/>
    <x v="1"/>
    <n v="2"/>
    <n v="2"/>
    <n v="78000"/>
    <s v=""/>
    <n v="68453.782015937395"/>
    <n v="50166.63"/>
    <n v="8688.5010000000002"/>
    <n v="8144130.3583500003"/>
    <n v="0.14457168780056914"/>
    <n v="0.14457168780056914"/>
    <n v="13878.882028854638"/>
    <n v="4577.5487736424948"/>
    <n v="26039303.994800001"/>
    <n v="0.18183714501540185"/>
    <n v="0.18183714501540185"/>
    <n v="11273.902990954915"/>
    <n v="3430.6977761767344"/>
    <n v="14009.146086982537"/>
    <n v="19832.666324064972"/>
    <n v="29291.850909145305"/>
    <n v="22325.713413742455"/>
  </r>
  <r>
    <s v="2025-Austria"/>
    <x v="0"/>
    <x v="2"/>
    <n v="2"/>
    <n v="2"/>
    <n v="11000"/>
    <s v=""/>
    <n v="8135.2439650493343"/>
    <n v="0"/>
    <n v="1385.5309999999999"/>
    <n v="1208462.1198499999"/>
    <n v="2.0445361467394722E-2"/>
    <n v="2.0445361467394722E-2"/>
    <n v="1267.6124109784728"/>
    <n v="0"/>
    <n v="2513773.0064500002"/>
    <n v="1.8452911592234646E-2"/>
    <n v="1.8452911592234646E-2"/>
    <n v="922.64557961173227"/>
    <n v="0"/>
    <n v="1916.4757417664298"/>
    <n v="0"/>
    <n v="4028.5102326926994"/>
    <n v="0"/>
  </r>
  <r>
    <s v="2025-Belgium"/>
    <x v="1"/>
    <x v="2"/>
    <n v="2"/>
    <n v="2"/>
    <n v="21000"/>
    <s v=""/>
    <n v="11207.047893312447"/>
    <n v="0"/>
    <n v="1710.8869999999999"/>
    <n v="1336423.6052999999"/>
    <n v="2.3507694270364844E-2"/>
    <n v="2.3507694270364844E-2"/>
    <n v="1457.4770447626204"/>
    <n v="0"/>
    <n v="4943561.1359000001"/>
    <n v="3.1196101607199218E-2"/>
    <n v="3.1196101607199218E-2"/>
    <n v="1559.8050803599608"/>
    <n v="0"/>
    <n v="2640.1218594822594"/>
    <n v="0"/>
    <n v="5549.643908707606"/>
    <n v="0"/>
  </r>
  <r>
    <s v="2025-Bulgaria"/>
    <x v="2"/>
    <x v="2"/>
    <n v="2"/>
    <n v="2"/>
    <n v="4000"/>
    <s v=""/>
    <n v="2521.5448283239575"/>
    <n v="0"/>
    <n v="244.833"/>
    <n v="554882.20200000005"/>
    <n v="7.4218256548038517E-3"/>
    <n v="7.4218256548038517E-3"/>
    <n v="460.15319059783883"/>
    <n v="0"/>
    <n v="687803.28255"/>
    <n v="4.3744852636337598E-3"/>
    <n v="4.3744852636337598E-3"/>
    <n v="218.724263181688"/>
    <n v="0"/>
    <n v="594.01777205708618"/>
    <n v="0"/>
    <n v="1248.6496024873443"/>
    <n v="0"/>
  </r>
  <r>
    <s v="2025-Croatia"/>
    <x v="3"/>
    <x v="2"/>
    <n v="2"/>
    <n v="2"/>
    <n v="3000"/>
    <s v=""/>
    <n v="2249.35600600003"/>
    <n v="0"/>
    <n v="198.50400000000002"/>
    <n v="521711.24985000002"/>
    <n v="6.8189398323650679E-3"/>
    <n v="6.8189398323650679E-3"/>
    <n v="422.77426960663422"/>
    <n v="0"/>
    <n v="581650.37925"/>
    <n v="3.6564315632520933E-3"/>
    <n v="3.6564315632520933E-3"/>
    <n v="182.82157816260465"/>
    <n v="0"/>
    <n v="529.89636679808405"/>
    <n v="0"/>
    <n v="1113.8637914327073"/>
    <n v="0"/>
  </r>
  <r>
    <s v="2025-Cyprus"/>
    <x v="4"/>
    <x v="2"/>
    <n v="2"/>
    <n v="2"/>
    <n v="4000"/>
    <s v=""/>
    <n v="2941.8473268289617"/>
    <n v="0"/>
    <n v="83.983000000000004"/>
    <n v="769070.87144999998"/>
    <n v="9.0039273871984522E-3"/>
    <n v="9.0039273871984522E-3"/>
    <n v="558.24349800630409"/>
    <n v="0"/>
    <n v="930455.66879999998"/>
    <n v="4.6758464151067883E-3"/>
    <n v="4.6758464151067883E-3"/>
    <n v="233.7923207553394"/>
    <n v="0"/>
    <n v="693.03134141643818"/>
    <n v="0"/>
    <n v="1456.7801666508803"/>
    <n v="0"/>
  </r>
  <r>
    <s v="2025-Czech Republic"/>
    <x v="5"/>
    <x v="2"/>
    <n v="2"/>
    <n v="2"/>
    <n v="5000"/>
    <s v=""/>
    <n v="3927.5936219552682"/>
    <n v="0"/>
    <n v="818.33199999999988"/>
    <n v="524044.51785"/>
    <n v="9.9586598931901311E-3"/>
    <n v="9.9586598931901311E-3"/>
    <n v="617.43691337778819"/>
    <n v="0"/>
    <n v="1025606.4928"/>
    <n v="8.7998427737418297E-3"/>
    <n v="8.7998427737418297E-3"/>
    <n v="439.99213868709148"/>
    <n v="0"/>
    <n v="925.25042055677"/>
    <n v="0"/>
    <n v="1944.9141493336185"/>
    <n v="0"/>
  </r>
  <r>
    <s v="2025-Denmark"/>
    <x v="6"/>
    <x v="2"/>
    <n v="2"/>
    <n v="2"/>
    <n v="10000"/>
    <s v=""/>
    <n v="7897.9822865757296"/>
    <n v="0"/>
    <n v="1160.6179999999999"/>
    <n v="1326590.0266499999"/>
    <n v="2.0633705518583439E-2"/>
    <n v="2.0633705518583439E-2"/>
    <n v="1279.2897421521732"/>
    <n v="0"/>
    <n v="2430379.5893999999"/>
    <n v="1.6941802084671991E-2"/>
    <n v="1.6941802084671991E-2"/>
    <n v="847.0901042335995"/>
    <n v="0"/>
    <n v="1860.5823655875517"/>
    <n v="0"/>
    <n v="3911.0200746024047"/>
    <n v="0"/>
  </r>
  <r>
    <s v="2025-Estonia"/>
    <x v="7"/>
    <x v="2"/>
    <n v="2"/>
    <n v="2"/>
    <n v="2000"/>
    <s v=""/>
    <n v="691.53951615024494"/>
    <n v="0"/>
    <n v="106.14500000000001"/>
    <n v="125432.56215"/>
    <n v="1.9329142094794596E-3"/>
    <n v="1.9329142094794596E-3"/>
    <n v="119.8406809877265"/>
    <n v="0"/>
    <n v="173591.55004999999"/>
    <n v="1.3268606979775577E-3"/>
    <n v="1.3268606979775577E-3"/>
    <n v="66.343034898877889"/>
    <n v="0"/>
    <n v="162.91075140077888"/>
    <n v="0"/>
    <n v="342.44504886286171"/>
    <n v="0"/>
  </r>
  <r>
    <s v="2025-Finland"/>
    <x v="8"/>
    <x v="2"/>
    <n v="2"/>
    <n v="2"/>
    <n v="7000"/>
    <s v=""/>
    <n v="5923.2893007192906"/>
    <n v="0"/>
    <n v="850.44499999999994"/>
    <n v="974813.74829999998"/>
    <n v="1.5150100499447851E-2"/>
    <n v="1.5150100499447851E-2"/>
    <n v="939.30623096576676"/>
    <n v="0"/>
    <n v="1932743.2337"/>
    <n v="1.3108510076865459E-2"/>
    <n v="1.3108510076865459E-2"/>
    <n v="655.42550384327296"/>
    <n v="0"/>
    <n v="1395.3902679579101"/>
    <n v="0"/>
    <n v="2933.1672979523414"/>
    <n v="0"/>
  </r>
  <r>
    <s v="2025-France"/>
    <x v="9"/>
    <x v="2"/>
    <n v="2"/>
    <n v="2"/>
    <n v="66000"/>
    <s v=""/>
    <n v="46929.025338665379"/>
    <n v="0"/>
    <n v="8384.0289999999986"/>
    <n v="5736410.4262499996"/>
    <n v="0.10612931653224905"/>
    <n v="0.10612931653224905"/>
    <n v="6580.0176249994411"/>
    <n v="0"/>
    <n v="17274511.772999998"/>
    <n v="0.12109439932359398"/>
    <n v="0.12109439932359398"/>
    <n v="6054.7199661796985"/>
    <n v="0"/>
    <n v="11055.395392281749"/>
    <n v="0"/>
    <n v="23238.892355204494"/>
    <n v="0"/>
  </r>
  <r>
    <s v="2025-Germany"/>
    <x v="10"/>
    <x v="2"/>
    <n v="2"/>
    <n v="2"/>
    <n v="95000"/>
    <s v=""/>
    <n v="64012.07678189093"/>
    <n v="0"/>
    <n v="12251.644"/>
    <n v="6713677.3838499999"/>
    <n v="0.13646343496651747"/>
    <n v="0.13646343496651747"/>
    <n v="8460.7329679240829"/>
    <n v="0"/>
    <n v="24917383.57945"/>
    <n v="0.17546575408246942"/>
    <n v="0.17546575408246942"/>
    <n v="8773.2877041234715"/>
    <n v="0"/>
    <n v="15079.768088041614"/>
    <n v="0"/>
    <n v="31698.28802180176"/>
    <n v="0"/>
  </r>
  <r>
    <s v="2025-Greece"/>
    <x v="11"/>
    <x v="2"/>
    <n v="2"/>
    <n v="2"/>
    <n v="21000"/>
    <s v=""/>
    <n v="13998.869565685254"/>
    <n v="0"/>
    <n v="620.89300000000003"/>
    <n v="3567374.4707999998"/>
    <n v="4.292727220411046E-2"/>
    <n v="4.292727220411046E-2"/>
    <n v="2661.4908766548483"/>
    <n v="0"/>
    <n v="4162302.3646999998"/>
    <n v="2.2148710897515928E-2"/>
    <n v="2.2148710897515928E-2"/>
    <n v="1107.4355448757965"/>
    <n v="0"/>
    <n v="3297.8106188393149"/>
    <n v="0"/>
    <n v="6932.1325253152945"/>
    <n v="0"/>
  </r>
  <r>
    <s v="2025-Iceland"/>
    <x v="12"/>
    <x v="2"/>
    <n v="2"/>
    <n v="2"/>
    <n v="3000"/>
    <s v=""/>
    <n v="2263.8336686653938"/>
    <n v="0"/>
    <n v="76.13"/>
    <n v="495405.74790000002"/>
    <n v="5.9106561269293111E-3"/>
    <n v="5.9106561269293111E-3"/>
    <n v="366.46067986961731"/>
    <n v="0"/>
    <n v="979507.98505000002"/>
    <n v="4.860660003113618E-3"/>
    <n v="4.860660003113618E-3"/>
    <n v="243.0330001556809"/>
    <n v="0"/>
    <n v="533.30697002213606"/>
    <n v="0"/>
    <n v="1121.0330186179594"/>
    <n v="0"/>
  </r>
  <r>
    <s v="2025-Ireland"/>
    <x v="13"/>
    <x v="2"/>
    <n v="2"/>
    <n v="2"/>
    <n v="10000"/>
    <s v=""/>
    <n v="9454.4948705892166"/>
    <n v="0"/>
    <n v="1475.558"/>
    <n v="1435323.66705"/>
    <n v="2.3429150904931837E-2"/>
    <n v="2.3429150904931837E-2"/>
    <n v="1452.607356105774"/>
    <n v="0"/>
    <n v="3159348.17625"/>
    <n v="2.1856671411826435E-2"/>
    <n v="2.1856671411826435E-2"/>
    <n v="1092.8335705913219"/>
    <n v="0"/>
    <n v="2227.2608108599597"/>
    <n v="0"/>
    <n v="4681.7931330321599"/>
    <n v="0"/>
  </r>
  <r>
    <s v="2025-Italy"/>
    <x v="14"/>
    <x v="2"/>
    <n v="2"/>
    <n v="2"/>
    <n v="52000"/>
    <s v=""/>
    <n v="40427.213933073122"/>
    <n v="0"/>
    <n v="6120.8509999999997"/>
    <n v="7104243.0440499997"/>
    <n v="0.11002393364746982"/>
    <n v="0.11002393364746982"/>
    <n v="6821.483886143129"/>
    <n v="0"/>
    <n v="11047337.88745"/>
    <n v="8.1255320378300327E-2"/>
    <n v="8.1255320378300327E-2"/>
    <n v="4062.7660189150165"/>
    <n v="0"/>
    <n v="9523.7186669258808"/>
    <n v="0"/>
    <n v="20019.245361089095"/>
    <n v="0"/>
  </r>
  <r>
    <s v="2025-Lithuania"/>
    <x v="15"/>
    <x v="2"/>
    <n v="2"/>
    <n v="2"/>
    <n v="2000"/>
    <s v=""/>
    <n v="1405.4132010387652"/>
    <n v="0"/>
    <n v="194.792"/>
    <n v="266406.49979999999"/>
    <n v="3.9513536642904398E-3"/>
    <n v="3.9513536642904398E-3"/>
    <n v="244.98392718600726"/>
    <n v="0"/>
    <n v="369517.33954999998"/>
    <n v="2.6679310003347428E-3"/>
    <n v="2.6679310003347428E-3"/>
    <n v="133.39655001673714"/>
    <n v="0"/>
    <n v="331.0829175524014"/>
    <n v="0"/>
    <n v="695.9498062836193"/>
    <n v="0"/>
  </r>
  <r>
    <s v="2025-Luxembourg"/>
    <x v="16"/>
    <x v="2"/>
    <n v="2"/>
    <n v="2"/>
    <n v="6000"/>
    <s v=""/>
    <n v="2579.4493947877745"/>
    <n v="0"/>
    <n v="240.98700000000002"/>
    <n v="221926.59405000001"/>
    <n v="3.6870624368762111E-3"/>
    <n v="3.6870624368762111E-3"/>
    <n v="228.59787108632509"/>
    <n v="0"/>
    <n v="1773174.3649500001"/>
    <n v="9.3173854732845878E-3"/>
    <n v="9.3173854732845878E-3"/>
    <n v="465.86927366422941"/>
    <n v="0"/>
    <n v="607.65875165673538"/>
    <n v="0"/>
    <n v="1277.3234983804846"/>
    <n v="0"/>
  </r>
  <r>
    <s v="2025-Malta"/>
    <x v="17"/>
    <x v="2"/>
    <n v="2"/>
    <n v="2"/>
    <n v="2000"/>
    <s v=""/>
    <n v="1553.9327688656313"/>
    <n v="0"/>
    <n v="51.745999999999995"/>
    <n v="409600.60784999997"/>
    <n v="4.8306666704403759E-3"/>
    <n v="4.8306666704403759E-3"/>
    <n v="299.50133356730333"/>
    <n v="0"/>
    <n v="463123.47224999999"/>
    <n v="2.377303622545793E-3"/>
    <n v="2.377303622545793E-3"/>
    <n v="118.86518112728965"/>
    <n v="0"/>
    <n v="366.07070035776894"/>
    <n v="0"/>
    <n v="769.49555381326945"/>
    <n v="0"/>
  </r>
  <r>
    <s v="2025-Netherlands"/>
    <x v="18"/>
    <x v="2"/>
    <n v="2"/>
    <n v="2"/>
    <n v="33000"/>
    <s v=""/>
    <n v="20108.880169587715"/>
    <n v="0"/>
    <n v="2949.6210000000001"/>
    <n v="2257841.8610999999"/>
    <n v="4.001251138103807E-2"/>
    <n v="4.001251138103807E-2"/>
    <n v="2480.7757056243604"/>
    <n v="0"/>
    <n v="9590246.7583499998"/>
    <n v="5.8663071416062029E-2"/>
    <n v="5.8663071416062029E-2"/>
    <n v="2933.1535708031015"/>
    <n v="0"/>
    <n v="4737.1881168740292"/>
    <n v="0"/>
    <n v="9957.7627762862248"/>
    <n v="0"/>
  </r>
  <r>
    <s v="2025-Norway"/>
    <x v="19"/>
    <x v="2"/>
    <n v="2"/>
    <n v="2"/>
    <n v="12000"/>
    <s v=""/>
    <n v="9483.5207071178338"/>
    <n v="0"/>
    <n v="1464.7280000000001"/>
    <n v="1956212.0518499999"/>
    <n v="2.9187326750083273E-2"/>
    <n v="2.9187326750083273E-2"/>
    <n v="1809.614258505163"/>
    <n v="0"/>
    <n v="1643693.0520500001"/>
    <n v="1.4872826329761996E-2"/>
    <n v="1.4872826329761996E-2"/>
    <n v="743.64131648809985"/>
    <n v="0"/>
    <n v="2234.0986281191053"/>
    <n v="0"/>
    <n v="4696.1665040054668"/>
    <n v="0"/>
  </r>
  <r>
    <s v="2025-Portugal"/>
    <x v="20"/>
    <x v="2"/>
    <n v="2"/>
    <n v="2"/>
    <n v="16000"/>
    <s v=""/>
    <n v="12271.363354268675"/>
    <n v="0"/>
    <n v="739.952"/>
    <n v="2565376.7863500002"/>
    <n v="3.2344094589249958E-2"/>
    <n v="3.2344094589249958E-2"/>
    <n v="2005.3338645334975"/>
    <n v="0"/>
    <n v="4867279.9790000003"/>
    <n v="2.5969894616930597E-2"/>
    <n v="2.5969894616930597E-2"/>
    <n v="1298.4947308465298"/>
    <n v="0"/>
    <n v="2890.8500209575245"/>
    <n v="0"/>
    <n v="6076.684737931123"/>
    <n v="0"/>
  </r>
  <r>
    <s v="2025-Romania"/>
    <x v="21"/>
    <x v="2"/>
    <n v="2"/>
    <n v="2"/>
    <n v="9000"/>
    <s v=""/>
    <n v="5720.3552347865425"/>
    <n v="0"/>
    <n v="838.98699999999997"/>
    <n v="1112307.3359999999"/>
    <n v="1.6626829030222983E-2"/>
    <n v="1.6626829030222983E-2"/>
    <n v="1030.8633998738248"/>
    <n v="0"/>
    <n v="1305804.92175"/>
    <n v="1.0184644805220263E-2"/>
    <n v="1.0184644805220263E-2"/>
    <n v="509.23224026101315"/>
    <n v="0"/>
    <n v="1347.5836851179838"/>
    <n v="0"/>
    <n v="2832.6759095337206"/>
    <n v="0"/>
  </r>
  <r>
    <s v="2025-Slovakia"/>
    <x v="22"/>
    <x v="2"/>
    <n v="2"/>
    <n v="2"/>
    <n v="2000"/>
    <s v=""/>
    <n v="1081.6245764151893"/>
    <n v="0"/>
    <n v="340.85399999999998"/>
    <n v="94916.486699999994"/>
    <n v="2.7714381540575404E-3"/>
    <n v="2.7714381540575404E-3"/>
    <n v="171.82916555156751"/>
    <n v="0"/>
    <n v="147702.22255000001"/>
    <n v="2.3875490235119763E-3"/>
    <n v="2.3875490235119763E-3"/>
    <n v="119.37745117559882"/>
    <n v="0"/>
    <n v="254.80578963627059"/>
    <n v="0"/>
    <n v="535.6121700517524"/>
    <n v="0"/>
  </r>
  <r>
    <s v="2025-Slovenia"/>
    <x v="23"/>
    <x v="2"/>
    <n v="2"/>
    <n v="2"/>
    <n v="1000"/>
    <s v=""/>
    <n v="558.68322498890507"/>
    <n v="0"/>
    <n v="175.67499999999998"/>
    <n v="46345.354650000001"/>
    <n v="1.3996635161148451E-3"/>
    <n v="1.3996635161148451E-3"/>
    <n v="86.779137999120394"/>
    <n v="0"/>
    <n v="85350.433250000002"/>
    <n v="1.2727115284193885E-3"/>
    <n v="1.2727115284193885E-3"/>
    <n v="63.635576420969421"/>
    <n v="0"/>
    <n v="131.61287511757862"/>
    <n v="0"/>
    <n v="276.65563545123666"/>
    <n v="0"/>
  </r>
  <r>
    <s v="2025-Spain"/>
    <x v="24"/>
    <x v="2"/>
    <n v="2"/>
    <n v="2"/>
    <n v="60000"/>
    <s v=""/>
    <n v="46752.017356381002"/>
    <n v="0"/>
    <n v="4142.6350000000002"/>
    <n v="9096424.7629499994"/>
    <n v="0.12231714229670948"/>
    <n v="0.12231714229670948"/>
    <n v="7583.6628223959879"/>
    <n v="0"/>
    <n v="17335856.589249998"/>
    <n v="0.10006837547105482"/>
    <n v="0.10006837547105482"/>
    <n v="5003.4187735527412"/>
    <n v="0"/>
    <n v="11013.696396455141"/>
    <n v="0"/>
    <n v="23151.239363977133"/>
    <n v="0"/>
  </r>
  <r>
    <s v="2025-Sweden"/>
    <x v="25"/>
    <x v="2"/>
    <n v="2"/>
    <n v="2"/>
    <n v="12000"/>
    <s v=""/>
    <n v="9242.6514858590817"/>
    <n v="0"/>
    <n v="1777.1790000000001"/>
    <n v="1511120.8476"/>
    <n v="2.5790151684447517E-2"/>
    <n v="2.5790151684447517E-2"/>
    <n v="1598.9894044357461"/>
    <n v="0"/>
    <n v="1938082.5807"/>
    <n v="1.778833529668012E-2"/>
    <n v="1.778833529668012E-2"/>
    <n v="889.41676483400602"/>
    <n v="0"/>
    <n v="2177.355398111034"/>
    <n v="0"/>
    <n v="4576.8899184782958"/>
    <n v="0"/>
  </r>
  <r>
    <s v="2025-Switzerland"/>
    <x v="26"/>
    <x v="2"/>
    <n v="2"/>
    <n v="2"/>
    <n v="17000"/>
    <s v=""/>
    <n v="13121.14765952814"/>
    <n v="0"/>
    <n v="2372.1120000000001"/>
    <n v="1495900.43505"/>
    <n v="2.8608931562305887E-2"/>
    <n v="2.8608931562305887E-2"/>
    <n v="1773.753756862965"/>
    <n v="0"/>
    <n v="5087815.3118000003"/>
    <n v="3.5177258414046064E-2"/>
    <n v="3.5177258414046064E-2"/>
    <n v="1758.8629207023032"/>
    <n v="0"/>
    <n v="3091.0395928696103"/>
    <n v="0"/>
    <n v="6497.4913890932621"/>
    <n v="0"/>
  </r>
  <r>
    <s v="2025-United Kingdom"/>
    <x v="27"/>
    <x v="2"/>
    <n v="2"/>
    <n v="2"/>
    <n v="78000"/>
    <s v=""/>
    <n v="69540.001962890208"/>
    <n v="0"/>
    <n v="8942.1049999999996"/>
    <n v="9301536.0616500005"/>
    <n v="0.14871593514912745"/>
    <n v="0.14871593514912745"/>
    <n v="9220.3879792459029"/>
    <n v="0"/>
    <n v="31741224.951200001"/>
    <n v="0.19003840483064452"/>
    <n v="0.19003840483064452"/>
    <n v="9501.9202415322252"/>
    <n v="0"/>
    <n v="16382.019693180866"/>
    <n v="0"/>
    <n v="34435.67404893120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0" applyNumberFormats="0" applyBorderFormats="0" applyFontFormats="0" applyPatternFormats="0" applyAlignmentFormats="0" applyWidthHeightFormats="1" dataCaption="Values" updatedVersion="8" minRefreshableVersion="3" showDrill="0" itemPrintTitles="1" createdVersion="6" indent="0" compact="0" compactData="0" multipleFieldFilters="0">
  <location ref="A4:P33" firstHeaderRow="0" firstDataRow="1" firstDataCol="1" rowPageCount="1" colPageCount="1"/>
  <pivotFields count="34">
    <pivotField compact="0" outline="0" showAll="0"/>
    <pivotField axis="axisRow" compact="0" outline="0" showAll="0" sortType="ascending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numFmtId="43" outline="0" showAll="0"/>
    <pivotField compact="0" outline="0" showAll="0"/>
    <pivotField dataField="1" compact="0" numFmtId="43" outline="0" showAll="0"/>
    <pivotField compact="0" numFmtId="43" outline="0" showAll="0"/>
    <pivotField compact="0" numFmtId="165" outline="0" showAll="0"/>
    <pivotField compact="0" outline="0" showAll="0"/>
    <pivotField compact="0" numFmtId="10" outline="0" showAll="0"/>
    <pivotField compact="0" numFmtId="10" outline="0" showAll="0"/>
    <pivotField compact="0" numFmtId="43" outline="0" showAll="0"/>
    <pivotField dataField="1" compact="0" numFmtId="43" outline="0" showAll="0"/>
    <pivotField compact="0" outline="0" showAll="0"/>
    <pivotField compact="0" numFmtId="10" outline="0" showAll="0"/>
    <pivotField compact="0" numFmtId="10" outline="0" showAll="0"/>
    <pivotField compact="0" numFmtId="43" outline="0" showAll="0"/>
    <pivotField dataField="1" compact="0" numFmtId="43" outline="0" showAll="0"/>
    <pivotField compact="0" numFmtId="43" outline="0" showAll="0"/>
    <pivotField dataField="1" compact="0" numFmtId="43" outline="0" showAll="0"/>
    <pivotField compact="0" numFmtId="43" outline="0" showAll="0"/>
    <pivotField dataField="1" compact="0" numFmtId="43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2" item="1" hier="-1"/>
  </pageFields>
  <dataFields count="15">
    <dataField name="Budget         5.3" fld="7" baseField="1" baseItem="0" numFmtId="169"/>
    <dataField name="HD Cost 5.4(b)" fld="21" baseField="1" baseItem="0" numFmtId="165"/>
    <dataField name="CSF Cost 5.4(b)" fld="19" baseField="1" baseItem="0" numFmtId="165"/>
    <dataField name="ESF Cost 5.4(b)" fld="14" baseField="1" baseItem="0" numFmtId="165"/>
    <dataField name="RFD Cost 5.4(b)" fld="23" baseField="1" baseItem="0" numFmtId="165"/>
    <dataField name="Total Cost 5.10(a)" fld="26" baseField="1" baseItem="0" numFmtId="170"/>
    <dataField name="TCost &gt; Budget 5.5" fld="24" baseField="1" baseItem="0" numFmtId="168"/>
    <dataField name="Deduction 5.5 5.10(b)" fld="27" baseField="1" baseItem="0" numFmtId="165"/>
    <dataField name="Addition 5.5 5.10(d)" fld="29" baseField="1" baseItem="0" numFmtId="165"/>
    <dataField name="Addition 5.6 5.10(e)" fld="30" baseField="1" baseItem="0" numFmtId="165"/>
    <dataField name="Deduction 5.7 5.10(f)" fld="31" baseField="1" baseItem="0" numFmtId="165"/>
    <dataField name="5.10 (a+b+d+e+f) &gt; State Max 5.6" fld="25" baseField="1" baseItem="0" numFmtId="168"/>
    <dataField name="Deduction 5.6 5.10(c)" fld="28" baseField="1" baseItem="0" numFmtId="165"/>
    <dataField name="Payment Request 5.10" fld="32" baseField="1" baseItem="0" numFmtId="165"/>
    <dataField name="Payment Request (rounded)" fld="33" baseField="0" baseItem="0" numFmtId="4"/>
  </dataFields>
  <formats count="67">
    <format dxfId="790">
      <pivotArea type="all" dataOnly="0" outline="0" fieldPosition="0"/>
    </format>
    <format dxfId="789">
      <pivotArea outline="0" collapsedLevelsAreSubtotals="1" fieldPosition="0"/>
    </format>
    <format dxfId="788">
      <pivotArea field="1" type="button" dataOnly="0" labelOnly="1" outline="0" axis="axisRow" fieldPosition="0"/>
    </format>
    <format dxfId="787">
      <pivotArea dataOnly="0" labelOnly="1" outline="0" fieldPosition="0">
        <references count="1">
          <reference field="1" count="0"/>
        </references>
      </pivotArea>
    </format>
    <format dxfId="786">
      <pivotArea dataOnly="0" labelOnly="1" grandRow="1" outline="0" fieldPosition="0"/>
    </format>
    <format dxfId="78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8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83">
      <pivotArea dataOnly="0" outline="0" fieldPosition="0">
        <references count="2">
          <reference field="4294967294" count="1">
            <x v="6"/>
          </reference>
          <reference field="2" count="1" selected="0">
            <x v="0"/>
          </reference>
        </references>
      </pivotArea>
    </format>
    <format dxfId="782">
      <pivotArea outline="0" fieldPosition="0">
        <references count="1">
          <reference field="4294967294" count="1" selected="0">
            <x v="6"/>
          </reference>
        </references>
      </pivotArea>
    </format>
    <format dxfId="781">
      <pivotArea outline="0" fieldPosition="0">
        <references count="1">
          <reference field="4294967294" count="1">
            <x v="11"/>
          </reference>
        </references>
      </pivotArea>
    </format>
    <format dxfId="780">
      <pivotArea outline="0" fieldPosition="0">
        <references count="1">
          <reference field="4294967294" count="1" selected="0">
            <x v="11"/>
          </reference>
        </references>
      </pivotArea>
    </format>
    <format dxfId="77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78">
      <pivotArea outline="0" fieldPosition="0">
        <references count="1">
          <reference field="4294967294" count="1">
            <x v="6"/>
          </reference>
        </references>
      </pivotArea>
    </format>
    <format dxfId="77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76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75">
      <pivotArea dataOnly="0" labelOnly="1" outline="0" fieldPosition="0">
        <references count="1">
          <reference field="4294967294" count="2">
            <x v="6"/>
            <x v="11"/>
          </reference>
        </references>
      </pivotArea>
    </format>
    <format dxfId="77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7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7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7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7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6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6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6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6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6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6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62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76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76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75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75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5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5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5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5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5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5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5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5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49">
      <pivotArea dataOnly="0" labelOnly="1" outline="0" fieldPosition="0">
        <references count="1">
          <reference field="4294967294" count="6">
            <x v="7"/>
            <x v="8"/>
            <x v="9"/>
            <x v="10"/>
            <x v="12"/>
            <x v="13"/>
          </reference>
        </references>
      </pivotArea>
    </format>
    <format dxfId="74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4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4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4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44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74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42">
      <pivotArea outline="0" fieldPosition="0">
        <references count="1">
          <reference field="4294967294" count="1">
            <x v="0"/>
          </reference>
        </references>
      </pivotArea>
    </format>
    <format dxfId="741">
      <pivotArea outline="0" fieldPosition="0">
        <references count="1">
          <reference field="4294967294" count="1">
            <x v="1"/>
          </reference>
        </references>
      </pivotArea>
    </format>
    <format dxfId="740">
      <pivotArea outline="0" fieldPosition="0">
        <references count="1">
          <reference field="4294967294" count="1">
            <x v="2"/>
          </reference>
        </references>
      </pivotArea>
    </format>
    <format dxfId="739">
      <pivotArea outline="0" fieldPosition="0">
        <references count="1">
          <reference field="4294967294" count="1">
            <x v="3"/>
          </reference>
        </references>
      </pivotArea>
    </format>
    <format dxfId="738">
      <pivotArea outline="0" fieldPosition="0">
        <references count="1">
          <reference field="4294967294" count="1">
            <x v="4"/>
          </reference>
        </references>
      </pivotArea>
    </format>
    <format dxfId="737">
      <pivotArea outline="0" fieldPosition="0">
        <references count="1">
          <reference field="4294967294" count="1">
            <x v="5"/>
          </reference>
        </references>
      </pivotArea>
    </format>
    <format dxfId="736">
      <pivotArea outline="0" fieldPosition="0">
        <references count="1">
          <reference field="4294967294" count="1">
            <x v="7"/>
          </reference>
        </references>
      </pivotArea>
    </format>
    <format dxfId="735">
      <pivotArea outline="0" fieldPosition="0">
        <references count="1">
          <reference field="4294967294" count="1">
            <x v="8"/>
          </reference>
        </references>
      </pivotArea>
    </format>
    <format dxfId="734">
      <pivotArea outline="0" fieldPosition="0">
        <references count="1">
          <reference field="4294967294" count="1">
            <x v="9"/>
          </reference>
        </references>
      </pivotArea>
    </format>
    <format dxfId="733">
      <pivotArea outline="0" fieldPosition="0">
        <references count="1">
          <reference field="4294967294" count="1">
            <x v="10"/>
          </reference>
        </references>
      </pivotArea>
    </format>
    <format dxfId="732">
      <pivotArea outline="0" fieldPosition="0">
        <references count="1">
          <reference field="4294967294" count="1">
            <x v="12"/>
          </reference>
        </references>
      </pivotArea>
    </format>
    <format dxfId="731">
      <pivotArea outline="0" fieldPosition="0">
        <references count="1">
          <reference field="4294967294" count="1">
            <x v="13"/>
          </reference>
        </references>
      </pivotArea>
    </format>
    <format dxfId="73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729">
      <pivotArea outline="0" fieldPosition="0">
        <references count="1">
          <reference field="4294967294" count="1">
            <x v="14"/>
          </reference>
        </references>
      </pivotArea>
    </format>
    <format dxfId="72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7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26">
      <pivotArea field="1" type="button" dataOnly="0" labelOnly="1" outline="0" axis="axisRow" fieldPosition="0"/>
    </format>
    <format dxfId="725">
      <pivotArea field="1" type="button" dataOnly="0" labelOnly="1" outline="0" axis="axisRow" fieldPosition="0"/>
    </format>
    <format dxfId="724">
      <pivotArea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format>
  </formats>
  <pivotTableStyleInfo name="PivotStyleMedium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costs" displayName="costs" ref="A1:M4" totalsRowShown="0">
  <tableColumns count="13">
    <tableColumn id="1" xr3:uid="{00000000-0010-0000-0200-000001000000}" name="Year"/>
    <tableColumn id="4" xr3:uid="{00000000-0010-0000-0200-000004000000}" name="HD_Budget" dataDxfId="723"/>
    <tableColumn id="3" xr3:uid="{00000000-0010-0000-0200-000003000000}" name="CSF_Budget" dataDxfId="722"/>
    <tableColumn id="2" xr3:uid="{00000000-0010-0000-0200-000002000000}" name="ESF_Budget" dataDxfId="721"/>
    <tableColumn id="10" xr3:uid="{243F41A4-0A60-4713-90AC-D72E58BFA1AD}" name="RFD_Budget"/>
    <tableColumn id="20" xr3:uid="{040AFA1A-2049-400E-A0D8-0369B37FBE06}" name="Source_Cost_5.4" dataDxfId="720"/>
    <tableColumn id="7" xr3:uid="{00000000-0010-0000-0200-000007000000}" name="HD_Cost_5.4b" dataDxfId="719"/>
    <tableColumn id="6" xr3:uid="{00000000-0010-0000-0200-000006000000}" name="CSF_Cost_5.4b" dataDxfId="718"/>
    <tableColumn id="5" xr3:uid="{00000000-0010-0000-0200-000005000000}" name="ESF_Cost_5.4b" dataDxfId="717"/>
    <tableColumn id="11" xr3:uid="{552D486B-F563-4906-913B-F606153A7571}" name="RFD_Cost_5.4b" dataDxfId="716"/>
    <tableColumn id="8" xr3:uid="{00000000-0010-0000-0200-000008000000}" name="Budget" dataDxfId="715">
      <calculatedColumnFormula>SUM(costs[[#This Row],[HD_Budget]:[RFD_Budget]])</calculatedColumnFormula>
    </tableColumn>
    <tableColumn id="9" xr3:uid="{00000000-0010-0000-0200-000009000000}" name="Cost_5.4a" dataDxfId="714">
      <calculatedColumnFormula>SUM(costs[[#This Row],[HD_Cost_5.4b]:[RFD_Cost_5.4b]])</calculatedColumnFormula>
    </tableColumn>
    <tableColumn id="13" xr3:uid="{00000000-0010-0000-0200-00000D000000}" name="Balance" dataDxfId="713">
      <calculatedColumnFormula>costs[[#This Row],[Budget]]-costs[[#This Row],[Cost_5.4a]]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ata" displayName="data" ref="A1:X85" totalsRowShown="0">
  <autoFilter ref="A1:X85" xr:uid="{00000000-0009-0000-0100-000002000000}"/>
  <sortState xmlns:xlrd2="http://schemas.microsoft.com/office/spreadsheetml/2017/richdata2" ref="A2:X29">
    <sortCondition ref="A2:A55"/>
  </sortState>
  <tableColumns count="24">
    <tableColumn id="1" xr3:uid="{00000000-0010-0000-0100-000001000000}" name="UID" dataDxfId="712">
      <calculatedColumnFormula>data[[#This Row],[Year]] &amp;"-"&amp;data[[#This Row],[State]]</calculatedColumnFormula>
    </tableColumn>
    <tableColumn id="2" xr3:uid="{00000000-0010-0000-0100-000002000000}" name="State" dataDxfId="711"/>
    <tableColumn id="3" xr3:uid="{00000000-0010-0000-0100-000003000000}" name="Year"/>
    <tableColumn id="5" xr3:uid="{00000000-0010-0000-0100-000005000000}" name="ESF" dataDxfId="710"/>
    <tableColumn id="11" xr3:uid="{00000000-0010-0000-0100-00000B000000}" name="CSF" dataDxfId="709"/>
    <tableColumn id="17" xr3:uid="{D36A5C2F-C632-41EE-A5A9-49BF55296E72}" name="Maximum" dataDxfId="708"/>
    <tableColumn id="6" xr3:uid="{00000000-0010-0000-0100-000006000000}" name="CheckStateName" dataDxfId="707">
      <calculatedColumnFormula array="1">_xlfn.IFS(ISERROR(MATCH(data[[#This Row],[UID]],CoTwo[UID],0)), "Not in CO2", ISERROR(MATCH(data[[#This Row],[UID]],gdp[UID],0)), "Not in GDP", TRUE, "")</calculatedColumnFormula>
    </tableColumn>
    <tableColumn id="19" xr3:uid="{00000000-0010-0000-0100-000013000000}" name="Budget_Year" dataDxfId="706">
      <calculatedColumnFormula>data[[#This Row],[ESFBudget]]+data[[#This Row],[CSFBudget]]+data[[#This Row],[HDBudget]]+data[[#This Row],[RFDBudget]]</calculatedColumnFormula>
    </tableColumn>
    <tableColumn id="31" xr3:uid="{00000000-0010-0000-0100-00001F000000}" name="Actual_Year" dataDxfId="705">
      <calculatedColumnFormula>ROUND(data[[#This Row],[ESFActual]]+data[[#This Row],[CSFActual]]+data[[#This Row],[HDActual]]+data[[#This Row],[RFDActual]],2)</calculatedColumnFormula>
    </tableColumn>
    <tableColumn id="4" xr3:uid="{00000000-0010-0000-0100-000004000000}" name="GDP_3Years" dataDxfId="704">
      <calculatedColumnFormula>VLOOKUP(data[[#This Row],[UID]],gdp[],MATCH("Year-5",gdp[#Headers],0),FALSE)+VLOOKUP(data[[#This Row],[UID]],gdp[],MATCH("Year-4",gdp[#Headers],0),FALSE)+VLOOKUP(data[[#This Row],[UID]],gdp[],MATCH("Year-3",gdp[#Headers],0),FALSE)</calculatedColumnFormula>
    </tableColumn>
    <tableColumn id="7" xr3:uid="{00000000-0010-0000-0100-000007000000}" name="ESFe" dataDxfId="703">
      <calculatedColumnFormula array="1">VLOOKUP(data[[#This Row],[UID]],CoTwo[#All],COLUMN(CoTwo[ESF_CO2_TONNES]),FALSE)</calculatedColumnFormula>
    </tableColumn>
    <tableColumn id="8" xr3:uid="{00000000-0010-0000-0100-000008000000}" name="ESF%Budget" dataDxfId="702" dataCellStyle="Percent">
      <calculatedColumnFormula>IF(data[[#This Row],[ESF]]=2,1,0)*(0.7*data[[#This Row],[ESFe]]/SUMIFS(data[ESFe],data[Year],data[[#This Row],[Year]],data[ESF],2)+0.3*data[[#This Row],[GDP_3Years]]/SUMIFS(data[GDP_3Years],data[Year],data[[#This Row],[Year]],data[ESF],2))</calculatedColumnFormula>
    </tableColumn>
    <tableColumn id="28" xr3:uid="{00000000-0010-0000-0100-00001C000000}" name="ESF%Actual" dataDxfId="701" dataCellStyle="Percent">
      <calculatedColumnFormula>IF(data[[#This Row],[ESF]]&gt;0,1,0)*(0.7*data[[#This Row],[ESFe]]/SUMIFS(data[ESFe],data[Year],data[[#This Row],[Year]],data[ESF],"&gt;0")+0.3*data[[#This Row],[GDP_3Years]]/SUMIFS(data[GDP_3Years],data[Year],data[[#This Row],[Year]],data[ESF],"&gt;0"))</calculatedColumnFormula>
    </tableColumn>
    <tableColumn id="10" xr3:uid="{00000000-0010-0000-0100-00000A000000}" name="ESFBudget" dataDxfId="700">
      <calculatedColumnFormula array="1">data[[#This Row],[ESF%Budget]]*VLOOKUP(data[[#This Row],[Year]],costs[#All],COLUMN(costs[ESF_Budget]),FALSE)</calculatedColumnFormula>
    </tableColumn>
    <tableColumn id="30" xr3:uid="{00000000-0010-0000-0100-00001E000000}" name="ESFActual" dataDxfId="699">
      <calculatedColumnFormula array="1">data[[#This Row],[ESF%Actual]]*VLOOKUP(data[[#This Row],[Year]],costs[#All],COLUMN(costs[ESF_Cost_5.4b]),FALSE)</calculatedColumnFormula>
    </tableColumn>
    <tableColumn id="12" xr3:uid="{00000000-0010-0000-0100-00000C000000}" name="CSFe" dataDxfId="698">
      <calculatedColumnFormula array="1">VLOOKUP(data[[#This Row],[UID]],CoTwo[#All],COLUMN(CoTwo[CSF_SET_CO2_TONNES]),FALSE)</calculatedColumnFormula>
    </tableColumn>
    <tableColumn id="13" xr3:uid="{00000000-0010-0000-0100-00000D000000}" name="CSF%Budget" dataDxfId="697" dataCellStyle="Percent">
      <calculatedColumnFormula>IF(data[[#This Row],[CSF]]=2,1,0)*(0.7*data[[#This Row],[CSFe]]/SUMIFS(data[CSFe],data[Year],data[[#This Row],[Year]],data[CSF],2)+0.3*data[[#This Row],[GDP_3Years]]/SUMIFS(data[GDP_3Years],data[Year],data[[#This Row],[Year]],data[CSF],2))</calculatedColumnFormula>
    </tableColumn>
    <tableColumn id="26" xr3:uid="{00000000-0010-0000-0100-00001A000000}" name="CSF%Actual" dataDxfId="696" dataCellStyle="Percent">
      <calculatedColumnFormula>IF(data[[#This Row],[CSF]]&gt;0,1,0)*(0.7*data[[#This Row],[CSFe]]/SUMIFS(data[CSFe],data[Year],data[[#This Row],[Year]],data[CSF],"&gt;0")+0.3*data[[#This Row],[GDP_3Years]]/SUMIFS(data[GDP_3Years],data[Year],data[[#This Row],[Year]],data[CSF],"&gt;0"))</calculatedColumnFormula>
    </tableColumn>
    <tableColumn id="14" xr3:uid="{00000000-0010-0000-0100-00000E000000}" name="CSFBudget" dataDxfId="695">
      <calculatedColumnFormula array="1">data[[#This Row],[CSF%Budget]]*VLOOKUP(data[[#This Row],[Year]],costs[#All],COLUMN(costs[CSF_Budget]),FALSE)</calculatedColumnFormula>
    </tableColumn>
    <tableColumn id="27" xr3:uid="{00000000-0010-0000-0100-00001B000000}" name="CSFActual" dataDxfId="694">
      <calculatedColumnFormula array="1">data[[#This Row],[CSF%Actual]]*VLOOKUP(data[[#This Row],[Year]],costs[#All],COLUMN(costs[CSF_Cost_5.4b]),FALSE)</calculatedColumnFormula>
    </tableColumn>
    <tableColumn id="18" xr3:uid="{00000000-0010-0000-0100-000012000000}" name="HDBudget" dataDxfId="693">
      <calculatedColumnFormula array="1">(data[[#This Row],[ESFBudget]]+data[[#This Row],[CSFBudget]])/(SUMIFS(data[ESFBudget],data[Year],data[[#This Row],[Year]])+SUMIFS(data[CSFBudget],data[Year],data[[#This Row],[Year]]))*VLOOKUP(data[[#This Row],[Year]],costs[#All],COLUMN(costs[HD_Budget]),FALSE)</calculatedColumnFormula>
    </tableColumn>
    <tableColumn id="33" xr3:uid="{00000000-0010-0000-0100-000021000000}" name="HDActual" dataDxfId="692">
      <calculatedColumnFormula array="1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calculatedColumnFormula>
    </tableColumn>
    <tableColumn id="15" xr3:uid="{202E178E-890F-43A8-95B0-17620043194B}" name="RFDBudget" dataDxfId="691">
      <calculatedColumnFormula array="1">(data[[#This Row],[ESFBudget]]+data[[#This Row],[CSFBudget]])/(SUMIFS(data[ESFBudget],data[Year],data[[#This Row],[Year]])+SUMIFS(data[CSFBudget],data[Year],data[[#This Row],[Year]]))*VLOOKUP(data[[#This Row],[Year]],costs[#All],COLUMN(costs[RFD_Budget]),FALSE)</calculatedColumnFormula>
    </tableColumn>
    <tableColumn id="16" xr3:uid="{5A14F9B9-6C6F-4C4B-B39D-1ED2A39FBCE9}" name="RFDActual" dataDxfId="690">
      <calculatedColumnFormula array="1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StateNames" displayName="StateNames" ref="A1:E7" totalsRowShown="0">
  <sortState xmlns:xlrd2="http://schemas.microsoft.com/office/spreadsheetml/2017/richdata2" ref="E2">
    <sortCondition ref="E2"/>
  </sortState>
  <tableColumns count="5">
    <tableColumn id="5" xr3:uid="{32353837-91AD-4044-A5BB-5DDEFA378D16}" name="SNUID" dataDxfId="689">
      <calculatedColumnFormula array="1">_xlfn.IFS(AND(StateNames[[#This Row],[GDP_State]]&lt;&gt;"",StateNames[[#This Row],[CO2_State]]=""), "GDP"&amp;StateNames[[#This Row],[Year]]&amp;StateNames[[#This Row],[GDP_State]], AND(StateNames[[#This Row],[CO2_State]]&lt;&gt; "",StateNames[[#This Row],[GDP_State]]=""), "CO2"&amp;StateNames[[#This Row],[Year]]&amp;StateNames[[#This Row],[CO2_State]],TRUE, NA())</calculatedColumnFormula>
    </tableColumn>
    <tableColumn id="2" xr3:uid="{00000000-0010-0000-0000-000002000000}" name="Year" dataDxfId="688"/>
    <tableColumn id="3" xr3:uid="{00000000-0010-0000-0000-000003000000}" name="GDP_State" dataDxfId="687"/>
    <tableColumn id="4" xr3:uid="{00000000-0010-0000-0000-000004000000}" name="CO2_State" dataDxfId="686"/>
    <tableColumn id="1" xr3:uid="{00000000-0010-0000-0000-000001000000}" name="State" dataDxfId="68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gdp" displayName="gdp" ref="A1:P85" totalsRowShown="0">
  <autoFilter ref="A1:P85" xr:uid="{00000000-0009-0000-0100-000001000000}"/>
  <sortState xmlns:xlrd2="http://schemas.microsoft.com/office/spreadsheetml/2017/richdata2" ref="A2:P57">
    <sortCondition ref="A2:A57"/>
  </sortState>
  <tableColumns count="16">
    <tableColumn id="13" xr3:uid="{00000000-0010-0000-0300-00000D000000}" name="UID" dataDxfId="684">
      <calculatedColumnFormula>gdp[[#This Row],[Year]]&amp;"-"&amp;gdp[[#This Row],[State]]</calculatedColumnFormula>
    </tableColumn>
    <tableColumn id="10" xr3:uid="{00000000-0010-0000-0300-00000A000000}" name="Year" dataDxfId="683"/>
    <tableColumn id="11" xr3:uid="{00000000-0010-0000-0300-00000B000000}" name="Report Date" dataDxfId="682">
      <calculatedColumnFormula>DATE(gdp[[#This Row],[Year]]-1,4,1)</calculatedColumnFormula>
    </tableColumn>
    <tableColumn id="14" xr3:uid="{00000000-0010-0000-0300-00000E000000}" name="Start Year (Y-5)" dataDxfId="681">
      <calculatedColumnFormula>gdp[[#This Row],[Year]]-5</calculatedColumnFormula>
    </tableColumn>
    <tableColumn id="12" xr3:uid="{00000000-0010-0000-0300-00000C000000}" name="End Year (Y-3" dataDxfId="680">
      <calculatedColumnFormula>gdp[[#This Row],[Year]]-3</calculatedColumnFormula>
    </tableColumn>
    <tableColumn id="16" xr3:uid="{00000000-0010-0000-0300-000010000000}" name="State" dataDxfId="679">
      <calculatedColumnFormula>IFERROR(INDEX(StateNames[State],MATCH("GDP"&amp;gdp[[#This Row],[Year]]&amp;gdp[[#This Row],[Country]],StateNames[SNUID],0)), gdp[[#This Row],[Country]])</calculatedColumnFormula>
    </tableColumn>
    <tableColumn id="1" xr3:uid="{00000000-0010-0000-0300-000001000000}" name="Country"/>
    <tableColumn id="2" xr3:uid="{00000000-0010-0000-0300-000002000000}" name="Subject Descriptor"/>
    <tableColumn id="3" xr3:uid="{00000000-0010-0000-0300-000003000000}" name="Units"/>
    <tableColumn id="4" xr3:uid="{00000000-0010-0000-0300-000004000000}" name="Scale"/>
    <tableColumn id="5" xr3:uid="{00000000-0010-0000-0300-000005000000}" name="Country/Series-specific Notes"/>
    <tableColumn id="6" xr3:uid="{00000000-0010-0000-0300-000006000000}" name="Year-5"/>
    <tableColumn id="7" xr3:uid="{00000000-0010-0000-0300-000007000000}" name="Year-4"/>
    <tableColumn id="8" xr3:uid="{00000000-0010-0000-0300-000008000000}" name="Year-3"/>
    <tableColumn id="9" xr3:uid="{00000000-0010-0000-0300-000009000000}" name="Estimates Start After"/>
    <tableColumn id="15" xr3:uid="{3750922E-02C1-412C-B8B4-61C1A7BBD12D}" name="EMIS_State" dataDxfId="678">
      <calculatedColumnFormula>IFERROR(MATCH(gdp[[#This Row],[UID]],data[UID],0),0)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CoTwo" displayName="CoTwo" ref="A1:J85" totalsRowShown="0">
  <autoFilter ref="A1:J85" xr:uid="{00000000-0009-0000-0100-000003000000}"/>
  <sortState xmlns:xlrd2="http://schemas.microsoft.com/office/spreadsheetml/2017/richdata2" ref="A2:J57">
    <sortCondition ref="J2:J57"/>
  </sortState>
  <tableColumns count="10">
    <tableColumn id="1" xr3:uid="{00000000-0010-0000-0400-000001000000}" name="UID" dataDxfId="677">
      <calculatedColumnFormula>CoTwo[[#This Row],[Year]] &amp;"-"&amp;CoTwo[[#This Row],[State]]</calculatedColumnFormula>
    </tableColumn>
    <tableColumn id="5" xr3:uid="{00000000-0010-0000-0400-000005000000}" name="Year" dataDxfId="676">
      <calculatedColumnFormula>CoTwo[[#This Row],[CO2_Year]]+2</calculatedColumnFormula>
    </tableColumn>
    <tableColumn id="7" xr3:uid="{00000000-0010-0000-0400-000007000000}" name="State" dataDxfId="675">
      <calculatedColumnFormula>PROPER(IFERROR(INDEX(StateNames[State],MATCH("CO2"&amp;CoTwo[[#This Row],[Year]]&amp;CoTwo[[#This Row],[STATE_UPPER]],StateNames[SNUID],0)),CoTwo[[#This Row],[STATE_UPPER]]))</calculatedColumnFormula>
    </tableColumn>
    <tableColumn id="3" xr3:uid="{00000000-0010-0000-0400-000003000000}" name="CO2_Year"/>
    <tableColumn id="2" xr3:uid="{00000000-0010-0000-0400-000002000000}" name="STATE_UPPER"/>
    <tableColumn id="4" xr3:uid="{00000000-0010-0000-0400-000004000000}" name="ESF_CO2_TONNES" dataDxfId="674"/>
    <tableColumn id="6" xr3:uid="{00000000-0010-0000-0400-000006000000}" name="CSF_SET_CO2_TONNES" dataDxfId="673"/>
    <tableColumn id="8" xr3:uid="{8B941D86-A5E4-4D96-AC2A-F4CB9768C57D}" name="Query" dataDxfId="672"/>
    <tableColumn id="9" xr3:uid="{16D26D05-6953-45B2-ACCD-F69EEF770C17}" name="Extract_Date" dataDxfId="671"/>
    <tableColumn id="10" xr3:uid="{F2095DD3-FE86-4934-BF94-1D3155233F1E}" name="EMIS_State" dataDxfId="670">
      <calculatedColumnFormula>IFERROR(MATCH(CoTwo[[#This Row],[UID]],data[UID],0),0)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P33"/>
  <sheetViews>
    <sheetView tabSelected="1" workbookViewId="0">
      <selection activeCell="D37" sqref="D37"/>
    </sheetView>
  </sheetViews>
  <sheetFormatPr defaultRowHeight="15" x14ac:dyDescent="0.25"/>
  <cols>
    <col min="1" max="1" width="15.42578125" style="23" bestFit="1" customWidth="1"/>
    <col min="2" max="7" width="12.7109375" style="23" customWidth="1"/>
    <col min="8" max="9" width="14.7109375" style="23" customWidth="1"/>
    <col min="10" max="10" width="13.42578125" style="23" customWidth="1"/>
    <col min="11" max="12" width="14.7109375" style="23" customWidth="1"/>
    <col min="13" max="13" width="26.5703125" style="23" customWidth="1"/>
    <col min="14" max="14" width="14.7109375" style="23" customWidth="1"/>
    <col min="15" max="16" width="17.7109375" style="23" customWidth="1"/>
    <col min="17" max="16384" width="9.140625" style="23"/>
  </cols>
  <sheetData>
    <row r="1" spans="1:16" ht="15.75" thickBot="1" x14ac:dyDescent="0.3"/>
    <row r="2" spans="1:16" ht="15.75" thickBot="1" x14ac:dyDescent="0.3">
      <c r="A2" s="21" t="s">
        <v>36</v>
      </c>
      <c r="B2" s="22">
        <v>2024</v>
      </c>
      <c r="D2" s="29"/>
      <c r="E2" s="30" t="s">
        <v>123</v>
      </c>
      <c r="F2" s="41" cm="1">
        <f t="array" ref="F2">VLOOKUP(B2,costs[#Data],COLUMN(costs[Budget]),FALSE)</f>
        <v>430000</v>
      </c>
      <c r="G2" s="44"/>
      <c r="H2" s="43" t="s">
        <v>133</v>
      </c>
      <c r="I2" s="28" cm="1">
        <f t="array" ref="I2">VLOOKUP(B2,costs[#Data],COLUMN(costs[Cost_5.4a]),FALSE)</f>
        <v>316536.78000000003</v>
      </c>
      <c r="J2" s="42"/>
      <c r="K2" s="39" t="s">
        <v>122</v>
      </c>
      <c r="L2" s="40">
        <f>IF(I2&gt;1.1*F2,1,0)</f>
        <v>0</v>
      </c>
    </row>
    <row r="4" spans="1:16" ht="30" x14ac:dyDescent="0.25">
      <c r="A4" s="38" t="s">
        <v>66</v>
      </c>
      <c r="B4" s="27" t="s">
        <v>139</v>
      </c>
      <c r="C4" s="31" t="s">
        <v>108</v>
      </c>
      <c r="D4" s="31" t="s">
        <v>109</v>
      </c>
      <c r="E4" s="31" t="s">
        <v>110</v>
      </c>
      <c r="F4" s="31" t="s">
        <v>111</v>
      </c>
      <c r="G4" s="34" t="s">
        <v>112</v>
      </c>
      <c r="H4" s="48" t="s">
        <v>119</v>
      </c>
      <c r="I4" s="34" t="s">
        <v>113</v>
      </c>
      <c r="J4" s="34" t="s">
        <v>115</v>
      </c>
      <c r="K4" s="34" t="s">
        <v>116</v>
      </c>
      <c r="L4" s="34" t="s">
        <v>117</v>
      </c>
      <c r="M4" s="32" t="s">
        <v>121</v>
      </c>
      <c r="N4" s="34" t="s">
        <v>114</v>
      </c>
      <c r="O4" s="34" t="s">
        <v>118</v>
      </c>
      <c r="P4" s="33" t="s">
        <v>120</v>
      </c>
    </row>
    <row r="5" spans="1:16" x14ac:dyDescent="0.25">
      <c r="A5" s="23" t="s">
        <v>8</v>
      </c>
      <c r="B5" s="35">
        <v>8263.1637777933702</v>
      </c>
      <c r="C5" s="36">
        <v>2409.3548307128231</v>
      </c>
      <c r="D5" s="36">
        <v>340.34011900235771</v>
      </c>
      <c r="E5" s="36">
        <v>632.53499496726749</v>
      </c>
      <c r="F5" s="36">
        <v>2712.2205649797547</v>
      </c>
      <c r="G5" s="37">
        <v>6094.4505096622033</v>
      </c>
      <c r="H5" s="47">
        <v>0</v>
      </c>
      <c r="I5" s="36">
        <v>0</v>
      </c>
      <c r="J5" s="36">
        <v>0</v>
      </c>
      <c r="K5" s="36">
        <v>0</v>
      </c>
      <c r="L5" s="36">
        <v>0</v>
      </c>
      <c r="M5" s="26">
        <v>0</v>
      </c>
      <c r="N5" s="36">
        <v>0</v>
      </c>
      <c r="O5" s="36">
        <v>6094.4505096622033</v>
      </c>
      <c r="P5" s="25">
        <v>6094.45</v>
      </c>
    </row>
    <row r="6" spans="1:16" x14ac:dyDescent="0.25">
      <c r="A6" s="23" t="s">
        <v>9</v>
      </c>
      <c r="B6" s="35">
        <v>11976.693734094726</v>
      </c>
      <c r="C6" s="36">
        <v>3460.5166728074319</v>
      </c>
      <c r="D6" s="36">
        <v>645.5611416989193</v>
      </c>
      <c r="E6" s="36">
        <v>751.76336589769471</v>
      </c>
      <c r="F6" s="36">
        <v>3895.5177401855826</v>
      </c>
      <c r="G6" s="37">
        <v>8753.3589205896278</v>
      </c>
      <c r="H6" s="47">
        <v>0</v>
      </c>
      <c r="I6" s="36">
        <v>0</v>
      </c>
      <c r="J6" s="36">
        <v>0</v>
      </c>
      <c r="K6" s="36">
        <v>0</v>
      </c>
      <c r="L6" s="36">
        <v>0</v>
      </c>
      <c r="M6" s="26">
        <v>0</v>
      </c>
      <c r="N6" s="36">
        <v>0</v>
      </c>
      <c r="O6" s="36">
        <v>8753.3589205896278</v>
      </c>
      <c r="P6" s="25">
        <v>8753.36</v>
      </c>
    </row>
    <row r="7" spans="1:16" x14ac:dyDescent="0.25">
      <c r="A7" s="23" t="s">
        <v>10</v>
      </c>
      <c r="B7" s="35">
        <v>2679.1273775191585</v>
      </c>
      <c r="C7" s="36">
        <v>786.43337081654113</v>
      </c>
      <c r="D7" s="36">
        <v>85.020451011695002</v>
      </c>
      <c r="E7" s="36">
        <v>232.53404345697518</v>
      </c>
      <c r="F7" s="36">
        <v>885.29125478953051</v>
      </c>
      <c r="G7" s="37">
        <v>1989.279120074742</v>
      </c>
      <c r="H7" s="47">
        <v>0</v>
      </c>
      <c r="I7" s="36">
        <v>0</v>
      </c>
      <c r="J7" s="36">
        <v>0</v>
      </c>
      <c r="K7" s="36">
        <v>0</v>
      </c>
      <c r="L7" s="36">
        <v>0</v>
      </c>
      <c r="M7" s="26">
        <v>0</v>
      </c>
      <c r="N7" s="36">
        <v>0</v>
      </c>
      <c r="O7" s="36">
        <v>1989.279120074742</v>
      </c>
      <c r="P7" s="25">
        <v>1989.28</v>
      </c>
    </row>
    <row r="8" spans="1:16" x14ac:dyDescent="0.25">
      <c r="A8" s="23" t="s">
        <v>11</v>
      </c>
      <c r="B8" s="35">
        <v>2465.8866604949121</v>
      </c>
      <c r="C8" s="36">
        <v>725.13925679828412</v>
      </c>
      <c r="D8" s="36">
        <v>71.989665954405481</v>
      </c>
      <c r="E8" s="36">
        <v>220.81483428301379</v>
      </c>
      <c r="F8" s="36">
        <v>816.2922205114013</v>
      </c>
      <c r="G8" s="37">
        <v>1834.2359775471045</v>
      </c>
      <c r="H8" s="47">
        <v>0</v>
      </c>
      <c r="I8" s="36">
        <v>0</v>
      </c>
      <c r="J8" s="36">
        <v>0</v>
      </c>
      <c r="K8" s="36">
        <v>0</v>
      </c>
      <c r="L8" s="36">
        <v>0</v>
      </c>
      <c r="M8" s="26">
        <v>0</v>
      </c>
      <c r="N8" s="36">
        <v>0</v>
      </c>
      <c r="O8" s="36">
        <v>1834.2359775471045</v>
      </c>
      <c r="P8" s="25">
        <v>1834.24</v>
      </c>
    </row>
    <row r="9" spans="1:16" x14ac:dyDescent="0.25">
      <c r="A9" s="23" t="s">
        <v>12</v>
      </c>
      <c r="B9" s="35">
        <v>2986.2142165102405</v>
      </c>
      <c r="C9" s="36">
        <v>878.75719830797641</v>
      </c>
      <c r="D9" s="36">
        <v>84.261727385846285</v>
      </c>
      <c r="E9" s="36">
        <v>270.57227155758346</v>
      </c>
      <c r="F9" s="36">
        <v>989.22056414984218</v>
      </c>
      <c r="G9" s="37">
        <v>2222.8117614012481</v>
      </c>
      <c r="H9" s="47">
        <v>0</v>
      </c>
      <c r="I9" s="36">
        <v>0</v>
      </c>
      <c r="J9" s="36">
        <v>0</v>
      </c>
      <c r="K9" s="36">
        <v>0</v>
      </c>
      <c r="L9" s="36">
        <v>0</v>
      </c>
      <c r="M9" s="26">
        <v>0</v>
      </c>
      <c r="N9" s="36">
        <v>0</v>
      </c>
      <c r="O9" s="36">
        <v>2222.8117614012481</v>
      </c>
      <c r="P9" s="25">
        <v>2222.81</v>
      </c>
    </row>
    <row r="10" spans="1:16" x14ac:dyDescent="0.25">
      <c r="A10" s="23" t="s">
        <v>13</v>
      </c>
      <c r="B10" s="35">
        <v>3792.3227329055007</v>
      </c>
      <c r="C10" s="36">
        <v>1105.7381385885576</v>
      </c>
      <c r="D10" s="36">
        <v>156.2875515991048</v>
      </c>
      <c r="E10" s="36">
        <v>290.19924390607957</v>
      </c>
      <c r="F10" s="36">
        <v>1244.73393488291</v>
      </c>
      <c r="G10" s="37">
        <v>2796.958868976652</v>
      </c>
      <c r="H10" s="47">
        <v>0</v>
      </c>
      <c r="I10" s="36">
        <v>0</v>
      </c>
      <c r="J10" s="36">
        <v>0</v>
      </c>
      <c r="K10" s="36">
        <v>0</v>
      </c>
      <c r="L10" s="36">
        <v>0</v>
      </c>
      <c r="M10" s="26">
        <v>0</v>
      </c>
      <c r="N10" s="36">
        <v>0</v>
      </c>
      <c r="O10" s="36">
        <v>2796.958868976652</v>
      </c>
      <c r="P10" s="25">
        <v>2796.96</v>
      </c>
    </row>
    <row r="11" spans="1:16" x14ac:dyDescent="0.25">
      <c r="A11" s="23" t="s">
        <v>14</v>
      </c>
      <c r="B11" s="35">
        <v>8117.4414547461438</v>
      </c>
      <c r="C11" s="36">
        <v>2369.8233583099181</v>
      </c>
      <c r="D11" s="36">
        <v>320.09440969599223</v>
      </c>
      <c r="E11" s="36">
        <v>636.81826269835676</v>
      </c>
      <c r="F11" s="36">
        <v>2667.7198251765735</v>
      </c>
      <c r="G11" s="37">
        <v>5994.4558558808403</v>
      </c>
      <c r="H11" s="47">
        <v>0</v>
      </c>
      <c r="I11" s="36">
        <v>0</v>
      </c>
      <c r="J11" s="36">
        <v>0</v>
      </c>
      <c r="K11" s="36">
        <v>0</v>
      </c>
      <c r="L11" s="36">
        <v>0</v>
      </c>
      <c r="M11" s="26">
        <v>0</v>
      </c>
      <c r="N11" s="36">
        <v>0</v>
      </c>
      <c r="O11" s="36">
        <v>5994.4558558808403</v>
      </c>
      <c r="P11" s="25">
        <v>5994.46</v>
      </c>
    </row>
    <row r="12" spans="1:16" x14ac:dyDescent="0.25">
      <c r="A12" s="23" t="s">
        <v>15</v>
      </c>
      <c r="B12" s="35">
        <v>791.83514873494596</v>
      </c>
      <c r="C12" s="36">
        <v>231.88193513635005</v>
      </c>
      <c r="D12" s="36">
        <v>27.796361587236586</v>
      </c>
      <c r="E12" s="36">
        <v>65.835411200058061</v>
      </c>
      <c r="F12" s="36">
        <v>261.03044064208746</v>
      </c>
      <c r="G12" s="37">
        <v>586.54414856573214</v>
      </c>
      <c r="H12" s="47">
        <v>0</v>
      </c>
      <c r="I12" s="36">
        <v>0</v>
      </c>
      <c r="J12" s="36">
        <v>0</v>
      </c>
      <c r="K12" s="36">
        <v>0</v>
      </c>
      <c r="L12" s="36">
        <v>0</v>
      </c>
      <c r="M12" s="26">
        <v>0</v>
      </c>
      <c r="N12" s="36">
        <v>0</v>
      </c>
      <c r="O12" s="36">
        <v>586.54414856573214</v>
      </c>
      <c r="P12" s="25">
        <v>586.54</v>
      </c>
    </row>
    <row r="13" spans="1:16" x14ac:dyDescent="0.25">
      <c r="A13" s="23" t="s">
        <v>16</v>
      </c>
      <c r="B13" s="35">
        <v>6130.8773811841329</v>
      </c>
      <c r="C13" s="36">
        <v>1789.9229718905758</v>
      </c>
      <c r="D13" s="36">
        <v>241.46266263377814</v>
      </c>
      <c r="E13" s="36">
        <v>481.29161709167778</v>
      </c>
      <c r="F13" s="36">
        <v>2014.923593738584</v>
      </c>
      <c r="G13" s="37">
        <v>4527.6008453546156</v>
      </c>
      <c r="H13" s="47">
        <v>0</v>
      </c>
      <c r="I13" s="36">
        <v>0</v>
      </c>
      <c r="J13" s="36">
        <v>0</v>
      </c>
      <c r="K13" s="36">
        <v>0</v>
      </c>
      <c r="L13" s="36">
        <v>0</v>
      </c>
      <c r="M13" s="26">
        <v>0</v>
      </c>
      <c r="N13" s="36">
        <v>0</v>
      </c>
      <c r="O13" s="36">
        <v>4527.6008453546156</v>
      </c>
      <c r="P13" s="25">
        <v>4527.6000000000004</v>
      </c>
    </row>
    <row r="14" spans="1:16" x14ac:dyDescent="0.25">
      <c r="A14" s="23" t="s">
        <v>17</v>
      </c>
      <c r="B14" s="35">
        <v>48964.423519379663</v>
      </c>
      <c r="C14" s="36">
        <v>14225.178845000697</v>
      </c>
      <c r="D14" s="36">
        <v>2265.9691542639175</v>
      </c>
      <c r="E14" s="36">
        <v>3478.0260072847464</v>
      </c>
      <c r="F14" s="36">
        <v>16013.34187563862</v>
      </c>
      <c r="G14" s="37">
        <v>35982.515882187974</v>
      </c>
      <c r="H14" s="47">
        <v>0</v>
      </c>
      <c r="I14" s="36">
        <v>0</v>
      </c>
      <c r="J14" s="36">
        <v>0</v>
      </c>
      <c r="K14" s="36">
        <v>0</v>
      </c>
      <c r="L14" s="36">
        <v>0</v>
      </c>
      <c r="M14" s="26">
        <v>0</v>
      </c>
      <c r="N14" s="36">
        <v>0</v>
      </c>
      <c r="O14" s="36">
        <v>35982.515882187974</v>
      </c>
      <c r="P14" s="25">
        <v>35982.519999999997</v>
      </c>
    </row>
    <row r="15" spans="1:16" x14ac:dyDescent="0.25">
      <c r="A15" s="23" t="s">
        <v>18</v>
      </c>
      <c r="B15" s="35">
        <v>66944.640748707694</v>
      </c>
      <c r="C15" s="36">
        <v>19382.414408939218</v>
      </c>
      <c r="D15" s="36">
        <v>3417.7533080595163</v>
      </c>
      <c r="E15" s="36">
        <v>4408.6856982384397</v>
      </c>
      <c r="F15" s="36">
        <v>21818.862995506508</v>
      </c>
      <c r="G15" s="37">
        <v>49027.716410743684</v>
      </c>
      <c r="H15" s="47">
        <v>0</v>
      </c>
      <c r="I15" s="36">
        <v>0</v>
      </c>
      <c r="J15" s="36">
        <v>0</v>
      </c>
      <c r="K15" s="36">
        <v>0</v>
      </c>
      <c r="L15" s="36">
        <v>0</v>
      </c>
      <c r="M15" s="26">
        <v>0</v>
      </c>
      <c r="N15" s="36">
        <v>0</v>
      </c>
      <c r="O15" s="36">
        <v>49027.716410743684</v>
      </c>
      <c r="P15" s="25">
        <v>49027.72</v>
      </c>
    </row>
    <row r="16" spans="1:16" x14ac:dyDescent="0.25">
      <c r="A16" s="23" t="s">
        <v>19</v>
      </c>
      <c r="B16" s="35">
        <v>15747.21205504741</v>
      </c>
      <c r="C16" s="36">
        <v>4633.249835611623</v>
      </c>
      <c r="D16" s="36">
        <v>447.72306187963073</v>
      </c>
      <c r="E16" s="36">
        <v>1423.1402100680759</v>
      </c>
      <c r="F16" s="36">
        <v>5215.6682472199673</v>
      </c>
      <c r="G16" s="37">
        <v>11719.781354779298</v>
      </c>
      <c r="H16" s="47">
        <v>0</v>
      </c>
      <c r="I16" s="36">
        <v>0</v>
      </c>
      <c r="J16" s="36">
        <v>0</v>
      </c>
      <c r="K16" s="36">
        <v>0</v>
      </c>
      <c r="L16" s="36">
        <v>0</v>
      </c>
      <c r="M16" s="26">
        <v>0</v>
      </c>
      <c r="N16" s="36">
        <v>0</v>
      </c>
      <c r="O16" s="36">
        <v>11719.781354779298</v>
      </c>
      <c r="P16" s="25">
        <v>11719.78</v>
      </c>
    </row>
    <row r="17" spans="1:16" x14ac:dyDescent="0.25">
      <c r="A17" s="23" t="s">
        <v>20</v>
      </c>
      <c r="B17" s="35">
        <v>2254.1988525494025</v>
      </c>
      <c r="C17" s="36">
        <v>657.80523922740656</v>
      </c>
      <c r="D17" s="36">
        <v>90.288213365310426</v>
      </c>
      <c r="E17" s="36">
        <v>175.32743565631696</v>
      </c>
      <c r="F17" s="36">
        <v>740.49404215657103</v>
      </c>
      <c r="G17" s="37">
        <v>1663.914930405605</v>
      </c>
      <c r="H17" s="47">
        <v>0</v>
      </c>
      <c r="I17" s="36">
        <v>0</v>
      </c>
      <c r="J17" s="36">
        <v>0</v>
      </c>
      <c r="K17" s="36">
        <v>0</v>
      </c>
      <c r="L17" s="36">
        <v>0</v>
      </c>
      <c r="M17" s="26">
        <v>0</v>
      </c>
      <c r="N17" s="36">
        <v>0</v>
      </c>
      <c r="O17" s="36">
        <v>1663.914930405605</v>
      </c>
      <c r="P17" s="25">
        <v>1663.91</v>
      </c>
    </row>
    <row r="18" spans="1:16" x14ac:dyDescent="0.25">
      <c r="A18" s="23" t="s">
        <v>21</v>
      </c>
      <c r="B18" s="35">
        <v>9540.8279058798016</v>
      </c>
      <c r="C18" s="36">
        <v>2779.4595652799562</v>
      </c>
      <c r="D18" s="36">
        <v>404.6835591562641</v>
      </c>
      <c r="E18" s="36">
        <v>717.63641085234065</v>
      </c>
      <c r="F18" s="36">
        <v>3128.8489749978712</v>
      </c>
      <c r="G18" s="37">
        <v>7030.6285102864322</v>
      </c>
      <c r="H18" s="47">
        <v>0</v>
      </c>
      <c r="I18" s="36">
        <v>0</v>
      </c>
      <c r="J18" s="36">
        <v>0</v>
      </c>
      <c r="K18" s="36">
        <v>0</v>
      </c>
      <c r="L18" s="36">
        <v>0</v>
      </c>
      <c r="M18" s="26">
        <v>0</v>
      </c>
      <c r="N18" s="36">
        <v>0</v>
      </c>
      <c r="O18" s="36">
        <v>7030.6285102864322</v>
      </c>
      <c r="P18" s="25">
        <v>7030.63</v>
      </c>
    </row>
    <row r="19" spans="1:16" x14ac:dyDescent="0.25">
      <c r="A19" s="23" t="s">
        <v>22</v>
      </c>
      <c r="B19" s="35">
        <v>42380.709136316837</v>
      </c>
      <c r="C19" s="36">
        <v>12416.276698827804</v>
      </c>
      <c r="D19" s="36">
        <v>1461.4279739738256</v>
      </c>
      <c r="E19" s="36">
        <v>3552.1492934628295</v>
      </c>
      <c r="F19" s="36">
        <v>13977.0533479606</v>
      </c>
      <c r="G19" s="37">
        <v>31406.907314225056</v>
      </c>
      <c r="H19" s="47">
        <v>0</v>
      </c>
      <c r="I19" s="36">
        <v>0</v>
      </c>
      <c r="J19" s="36">
        <v>0</v>
      </c>
      <c r="K19" s="36">
        <v>0</v>
      </c>
      <c r="L19" s="36">
        <v>0</v>
      </c>
      <c r="M19" s="26">
        <v>0</v>
      </c>
      <c r="N19" s="36">
        <v>0</v>
      </c>
      <c r="O19" s="36">
        <v>31406.907314225056</v>
      </c>
      <c r="P19" s="25">
        <v>31406.91</v>
      </c>
    </row>
    <row r="20" spans="1:16" x14ac:dyDescent="0.25">
      <c r="A20" s="23" t="s">
        <v>23</v>
      </c>
      <c r="B20" s="35">
        <v>1544.0626543472779</v>
      </c>
      <c r="C20" s="36">
        <v>452.64968789912035</v>
      </c>
      <c r="D20" s="36">
        <v>51.868933940227059</v>
      </c>
      <c r="E20" s="36">
        <v>130.90680796777792</v>
      </c>
      <c r="F20" s="36">
        <v>509.54960083170607</v>
      </c>
      <c r="G20" s="37">
        <v>1144.9750306388314</v>
      </c>
      <c r="H20" s="47">
        <v>0</v>
      </c>
      <c r="I20" s="36">
        <v>0</v>
      </c>
      <c r="J20" s="36">
        <v>0</v>
      </c>
      <c r="K20" s="36">
        <v>0</v>
      </c>
      <c r="L20" s="36">
        <v>0</v>
      </c>
      <c r="M20" s="26">
        <v>0</v>
      </c>
      <c r="N20" s="36">
        <v>0</v>
      </c>
      <c r="O20" s="36">
        <v>1144.9750306388314</v>
      </c>
      <c r="P20" s="25">
        <v>1144.98</v>
      </c>
    </row>
    <row r="21" spans="1:16" x14ac:dyDescent="0.25">
      <c r="A21" s="23" t="s">
        <v>24</v>
      </c>
      <c r="B21" s="35">
        <v>2850.1128378303329</v>
      </c>
      <c r="C21" s="36">
        <v>811.72733935696044</v>
      </c>
      <c r="D21" s="36">
        <v>210.33847057845509</v>
      </c>
      <c r="E21" s="36">
        <v>117.42949357629875</v>
      </c>
      <c r="F21" s="36">
        <v>913.76477839459437</v>
      </c>
      <c r="G21" s="37">
        <v>2053.2600819063086</v>
      </c>
      <c r="H21" s="47">
        <v>0</v>
      </c>
      <c r="I21" s="36">
        <v>0</v>
      </c>
      <c r="J21" s="36">
        <v>0</v>
      </c>
      <c r="K21" s="36">
        <v>0</v>
      </c>
      <c r="L21" s="36">
        <v>0</v>
      </c>
      <c r="M21" s="26">
        <v>0</v>
      </c>
      <c r="N21" s="36">
        <v>0</v>
      </c>
      <c r="O21" s="36">
        <v>2053.2600819063086</v>
      </c>
      <c r="P21" s="25">
        <v>2053.2600000000002</v>
      </c>
    </row>
    <row r="22" spans="1:16" x14ac:dyDescent="0.25">
      <c r="A22" s="23" t="s">
        <v>25</v>
      </c>
      <c r="B22" s="35">
        <v>1519.6407970435434</v>
      </c>
      <c r="C22" s="36">
        <v>447.32655267987155</v>
      </c>
      <c r="D22" s="36">
        <v>42.206119633491284</v>
      </c>
      <c r="E22" s="36">
        <v>138.42018968904011</v>
      </c>
      <c r="F22" s="36">
        <v>503.55732579285552</v>
      </c>
      <c r="G22" s="37">
        <v>1131.5101877952584</v>
      </c>
      <c r="H22" s="47">
        <v>0</v>
      </c>
      <c r="I22" s="36">
        <v>0</v>
      </c>
      <c r="J22" s="36">
        <v>0</v>
      </c>
      <c r="K22" s="36">
        <v>0</v>
      </c>
      <c r="L22" s="36">
        <v>0</v>
      </c>
      <c r="M22" s="26">
        <v>0</v>
      </c>
      <c r="N22" s="36">
        <v>0</v>
      </c>
      <c r="O22" s="36">
        <v>1131.5101877952584</v>
      </c>
      <c r="P22" s="25">
        <v>1131.51</v>
      </c>
    </row>
    <row r="23" spans="1:16" x14ac:dyDescent="0.25">
      <c r="A23" s="23" t="s">
        <v>26</v>
      </c>
      <c r="B23" s="35">
        <v>20795.648940658211</v>
      </c>
      <c r="C23" s="36">
        <v>6002.4222650340625</v>
      </c>
      <c r="D23" s="36">
        <v>1150.8765402195033</v>
      </c>
      <c r="E23" s="36">
        <v>1272.8458483425604</v>
      </c>
      <c r="F23" s="36">
        <v>6756.9512383118899</v>
      </c>
      <c r="G23" s="37">
        <v>15183.095891908015</v>
      </c>
      <c r="H23" s="47">
        <v>0</v>
      </c>
      <c r="I23" s="36">
        <v>0</v>
      </c>
      <c r="J23" s="36">
        <v>0</v>
      </c>
      <c r="K23" s="36">
        <v>0</v>
      </c>
      <c r="L23" s="36">
        <v>0</v>
      </c>
      <c r="M23" s="26">
        <v>0</v>
      </c>
      <c r="N23" s="36">
        <v>0</v>
      </c>
      <c r="O23" s="36">
        <v>15183.095891908015</v>
      </c>
      <c r="P23" s="25">
        <v>15183.1</v>
      </c>
    </row>
    <row r="24" spans="1:16" x14ac:dyDescent="0.25">
      <c r="A24" s="23" t="s">
        <v>27</v>
      </c>
      <c r="B24" s="35">
        <v>10130.121512410471</v>
      </c>
      <c r="C24" s="36">
        <v>2984.0071192215551</v>
      </c>
      <c r="D24" s="36">
        <v>271.3803568626393</v>
      </c>
      <c r="E24" s="36">
        <v>933.53401655904258</v>
      </c>
      <c r="F24" s="36">
        <v>3359.1089911834388</v>
      </c>
      <c r="G24" s="37">
        <v>7548.0304838266757</v>
      </c>
      <c r="H24" s="47">
        <v>0</v>
      </c>
      <c r="I24" s="36">
        <v>0</v>
      </c>
      <c r="J24" s="36">
        <v>0</v>
      </c>
      <c r="K24" s="36">
        <v>0</v>
      </c>
      <c r="L24" s="36">
        <v>0</v>
      </c>
      <c r="M24" s="26">
        <v>0</v>
      </c>
      <c r="N24" s="36">
        <v>0</v>
      </c>
      <c r="O24" s="36">
        <v>7548.0304838266757</v>
      </c>
      <c r="P24" s="25">
        <v>7548.03</v>
      </c>
    </row>
    <row r="25" spans="1:16" x14ac:dyDescent="0.25">
      <c r="A25" s="23" t="s">
        <v>28</v>
      </c>
      <c r="B25" s="35">
        <v>12603.812067821837</v>
      </c>
      <c r="C25" s="36">
        <v>3681.7465555447934</v>
      </c>
      <c r="D25" s="36">
        <v>486.59170503508909</v>
      </c>
      <c r="E25" s="36">
        <v>1000.0633754759016</v>
      </c>
      <c r="F25" s="36">
        <v>4144.5571219734493</v>
      </c>
      <c r="G25" s="37">
        <v>9312.9587580292336</v>
      </c>
      <c r="H25" s="47">
        <v>0</v>
      </c>
      <c r="I25" s="36">
        <v>0</v>
      </c>
      <c r="J25" s="36">
        <v>0</v>
      </c>
      <c r="K25" s="36">
        <v>0</v>
      </c>
      <c r="L25" s="36">
        <v>0</v>
      </c>
      <c r="M25" s="26">
        <v>0</v>
      </c>
      <c r="N25" s="36">
        <v>0</v>
      </c>
      <c r="O25" s="36">
        <v>9312.9587580292336</v>
      </c>
      <c r="P25" s="25">
        <v>9312.9599999999991</v>
      </c>
    </row>
    <row r="26" spans="1:16" x14ac:dyDescent="0.25">
      <c r="A26" s="23" t="s">
        <v>29</v>
      </c>
      <c r="B26" s="52">
        <v>6113.5885551302617</v>
      </c>
      <c r="C26" s="36">
        <v>1794.3818568889942</v>
      </c>
      <c r="D26" s="36">
        <v>195.00401151660549</v>
      </c>
      <c r="E26" s="36">
        <v>529.55072457821404</v>
      </c>
      <c r="F26" s="36">
        <v>2019.9429787770312</v>
      </c>
      <c r="G26" s="37">
        <v>4538.8795717608446</v>
      </c>
      <c r="H26" s="47">
        <v>0</v>
      </c>
      <c r="I26" s="36">
        <v>0</v>
      </c>
      <c r="J26" s="36">
        <v>0</v>
      </c>
      <c r="K26" s="36">
        <v>0</v>
      </c>
      <c r="L26" s="36">
        <v>0</v>
      </c>
      <c r="M26" s="26">
        <v>0</v>
      </c>
      <c r="N26" s="36">
        <v>0</v>
      </c>
      <c r="O26" s="36">
        <v>4538.8795717608446</v>
      </c>
      <c r="P26" s="25">
        <v>4538.88</v>
      </c>
    </row>
    <row r="27" spans="1:16" x14ac:dyDescent="0.25">
      <c r="A27" s="23" t="s">
        <v>80</v>
      </c>
      <c r="B27" s="35">
        <v>1113.0442617344484</v>
      </c>
      <c r="C27" s="36">
        <v>324.77523097992093</v>
      </c>
      <c r="D27" s="36">
        <v>44.705892450211643</v>
      </c>
      <c r="E27" s="36">
        <v>86.435330845910968</v>
      </c>
      <c r="F27" s="36">
        <v>365.60080285027294</v>
      </c>
      <c r="G27" s="37">
        <v>821.51725712631651</v>
      </c>
      <c r="H27" s="47">
        <v>0</v>
      </c>
      <c r="I27" s="36">
        <v>0</v>
      </c>
      <c r="J27" s="36">
        <v>0</v>
      </c>
      <c r="K27" s="36">
        <v>0</v>
      </c>
      <c r="L27" s="36">
        <v>0</v>
      </c>
      <c r="M27" s="26">
        <v>0</v>
      </c>
      <c r="N27" s="36">
        <v>0</v>
      </c>
      <c r="O27" s="36">
        <v>821.51725712631651</v>
      </c>
      <c r="P27" s="25">
        <v>821.52</v>
      </c>
    </row>
    <row r="28" spans="1:16" x14ac:dyDescent="0.25">
      <c r="A28" s="23" t="s">
        <v>31</v>
      </c>
      <c r="B28" s="35">
        <v>574.25468306486334</v>
      </c>
      <c r="C28" s="36">
        <v>167.4024085205001</v>
      </c>
      <c r="D28" s="36">
        <v>23.832714698743615</v>
      </c>
      <c r="E28" s="36">
        <v>43.762823821411857</v>
      </c>
      <c r="F28" s="36">
        <v>188.44557440388061</v>
      </c>
      <c r="G28" s="37">
        <v>423.44352144453615</v>
      </c>
      <c r="H28" s="47">
        <v>0</v>
      </c>
      <c r="I28" s="36">
        <v>0</v>
      </c>
      <c r="J28" s="36">
        <v>0</v>
      </c>
      <c r="K28" s="36">
        <v>0</v>
      </c>
      <c r="L28" s="36">
        <v>0</v>
      </c>
      <c r="M28" s="26">
        <v>0</v>
      </c>
      <c r="N28" s="36">
        <v>0</v>
      </c>
      <c r="O28" s="36">
        <v>423.44352144453615</v>
      </c>
      <c r="P28" s="25">
        <v>423.44</v>
      </c>
    </row>
    <row r="29" spans="1:16" x14ac:dyDescent="0.25">
      <c r="A29" s="23" t="s">
        <v>32</v>
      </c>
      <c r="B29" s="35">
        <v>49048.950850339032</v>
      </c>
      <c r="C29" s="36">
        <v>14323.982475768076</v>
      </c>
      <c r="D29" s="36">
        <v>1912.3483837839885</v>
      </c>
      <c r="E29" s="36">
        <v>3871.5427666485493</v>
      </c>
      <c r="F29" s="36">
        <v>16124.56552598931</v>
      </c>
      <c r="G29" s="37">
        <v>36232.439152189923</v>
      </c>
      <c r="H29" s="47">
        <v>0</v>
      </c>
      <c r="I29" s="36">
        <v>0</v>
      </c>
      <c r="J29" s="36">
        <v>0</v>
      </c>
      <c r="K29" s="36">
        <v>0</v>
      </c>
      <c r="L29" s="36">
        <v>0</v>
      </c>
      <c r="M29" s="26">
        <v>0</v>
      </c>
      <c r="N29" s="36">
        <v>0</v>
      </c>
      <c r="O29" s="36">
        <v>36232.439152189923</v>
      </c>
      <c r="P29" s="25">
        <v>36232.44</v>
      </c>
    </row>
    <row r="30" spans="1:16" x14ac:dyDescent="0.25">
      <c r="A30" s="23" t="s">
        <v>33</v>
      </c>
      <c r="B30" s="35">
        <v>9770.7292754499795</v>
      </c>
      <c r="C30" s="36">
        <v>2860.7489958355659</v>
      </c>
      <c r="D30" s="36">
        <v>345.50670576443116</v>
      </c>
      <c r="E30" s="36">
        <v>809.63718167144486</v>
      </c>
      <c r="F30" s="36">
        <v>3220.3568186985808</v>
      </c>
      <c r="G30" s="37">
        <v>7236.2497019700222</v>
      </c>
      <c r="H30" s="47">
        <v>0</v>
      </c>
      <c r="I30" s="36">
        <v>0</v>
      </c>
      <c r="J30" s="36">
        <v>0</v>
      </c>
      <c r="K30" s="36">
        <v>0</v>
      </c>
      <c r="L30" s="36">
        <v>0</v>
      </c>
      <c r="M30" s="26">
        <v>0</v>
      </c>
      <c r="N30" s="36">
        <v>0</v>
      </c>
      <c r="O30" s="36">
        <v>7236.2497019700222</v>
      </c>
      <c r="P30" s="25">
        <v>7236.25</v>
      </c>
    </row>
    <row r="31" spans="1:16" x14ac:dyDescent="0.25">
      <c r="A31" s="23" t="s">
        <v>34</v>
      </c>
      <c r="B31" s="35">
        <v>12446.676846368391</v>
      </c>
      <c r="C31" s="36">
        <v>3602.5508619504594</v>
      </c>
      <c r="D31" s="36">
        <v>640.853028072077</v>
      </c>
      <c r="E31" s="36">
        <v>813.82356655989679</v>
      </c>
      <c r="F31" s="36">
        <v>4055.4062065141275</v>
      </c>
      <c r="G31" s="37">
        <v>9112.6336630965616</v>
      </c>
      <c r="H31" s="47">
        <v>0</v>
      </c>
      <c r="I31" s="36">
        <v>0</v>
      </c>
      <c r="J31" s="36">
        <v>0</v>
      </c>
      <c r="K31" s="36">
        <v>0</v>
      </c>
      <c r="L31" s="36">
        <v>0</v>
      </c>
      <c r="M31" s="26">
        <v>0</v>
      </c>
      <c r="N31" s="36">
        <v>0</v>
      </c>
      <c r="O31" s="36">
        <v>9112.6336630965616</v>
      </c>
      <c r="P31" s="25">
        <v>9112.6299999999992</v>
      </c>
    </row>
    <row r="32" spans="1:16" x14ac:dyDescent="0.25">
      <c r="A32" s="23" t="s">
        <v>35</v>
      </c>
      <c r="B32" s="35">
        <v>68453.782015937395</v>
      </c>
      <c r="C32" s="36">
        <v>19832.666324064972</v>
      </c>
      <c r="D32" s="36">
        <v>3430.6977761767344</v>
      </c>
      <c r="E32" s="36">
        <v>4577.5487736424948</v>
      </c>
      <c r="F32" s="36">
        <v>22325.713413742455</v>
      </c>
      <c r="G32" s="37">
        <v>50166.626287626656</v>
      </c>
      <c r="H32" s="47">
        <v>0</v>
      </c>
      <c r="I32" s="36">
        <v>0</v>
      </c>
      <c r="J32" s="36">
        <v>0</v>
      </c>
      <c r="K32" s="36">
        <v>0</v>
      </c>
      <c r="L32" s="36">
        <v>0</v>
      </c>
      <c r="M32" s="26">
        <v>0</v>
      </c>
      <c r="N32" s="36">
        <v>0</v>
      </c>
      <c r="O32" s="36">
        <v>50166.626287626656</v>
      </c>
      <c r="P32" s="25">
        <v>50166.63</v>
      </c>
    </row>
    <row r="33" spans="1:16" x14ac:dyDescent="0.25">
      <c r="A33" s="23" t="s">
        <v>77</v>
      </c>
      <c r="B33" s="35">
        <v>430000</v>
      </c>
      <c r="C33" s="36">
        <v>125138.34000000003</v>
      </c>
      <c r="D33" s="36">
        <v>18866.869999999995</v>
      </c>
      <c r="E33" s="36">
        <v>31662.829999999998</v>
      </c>
      <c r="F33" s="36">
        <v>140868.74000000002</v>
      </c>
      <c r="G33" s="37">
        <v>316536.78000000003</v>
      </c>
      <c r="H33" s="47">
        <v>0</v>
      </c>
      <c r="I33" s="36">
        <v>0</v>
      </c>
      <c r="J33" s="36">
        <v>0</v>
      </c>
      <c r="K33" s="36">
        <v>0</v>
      </c>
      <c r="L33" s="36">
        <v>0</v>
      </c>
      <c r="M33" s="26">
        <v>0</v>
      </c>
      <c r="N33" s="36">
        <v>0</v>
      </c>
      <c r="O33" s="36">
        <v>316536.78000000003</v>
      </c>
      <c r="P33" s="25">
        <v>316536.78000000003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N11"/>
  <sheetViews>
    <sheetView workbookViewId="0">
      <selection activeCell="I29" sqref="I29"/>
    </sheetView>
  </sheetViews>
  <sheetFormatPr defaultRowHeight="15" x14ac:dyDescent="0.25"/>
  <cols>
    <col min="2" max="2" width="10.85546875" customWidth="1"/>
    <col min="3" max="3" width="11.42578125" bestFit="1" customWidth="1"/>
    <col min="4" max="4" width="12.140625" customWidth="1"/>
    <col min="5" max="5" width="11.7109375" customWidth="1"/>
    <col min="6" max="6" width="31.28515625" bestFit="1" customWidth="1"/>
    <col min="7" max="7" width="13.85546875" bestFit="1" customWidth="1"/>
    <col min="8" max="8" width="13.7109375" bestFit="1" customWidth="1"/>
    <col min="9" max="10" width="14.140625" bestFit="1" customWidth="1"/>
    <col min="11" max="12" width="12.7109375" customWidth="1"/>
    <col min="13" max="13" width="13" customWidth="1"/>
  </cols>
  <sheetData>
    <row r="1" spans="1:14" x14ac:dyDescent="0.25">
      <c r="A1" t="s">
        <v>36</v>
      </c>
      <c r="B1" t="s">
        <v>75</v>
      </c>
      <c r="C1" t="s">
        <v>71</v>
      </c>
      <c r="D1" t="s">
        <v>70</v>
      </c>
      <c r="E1" t="s">
        <v>101</v>
      </c>
      <c r="F1" s="19" t="s">
        <v>134</v>
      </c>
      <c r="G1" s="45" t="s">
        <v>128</v>
      </c>
      <c r="H1" s="45" t="s">
        <v>129</v>
      </c>
      <c r="I1" s="45" t="s">
        <v>130</v>
      </c>
      <c r="J1" s="45" t="s">
        <v>131</v>
      </c>
      <c r="K1" s="1" t="s">
        <v>76</v>
      </c>
      <c r="L1" s="1" t="s">
        <v>135</v>
      </c>
      <c r="M1" s="1" t="s">
        <v>78</v>
      </c>
    </row>
    <row r="2" spans="1:14" x14ac:dyDescent="0.25">
      <c r="A2">
        <v>2023</v>
      </c>
      <c r="B2" s="10">
        <v>100000</v>
      </c>
      <c r="C2" s="10">
        <v>80000</v>
      </c>
      <c r="D2" s="10">
        <v>80000</v>
      </c>
      <c r="E2" s="10">
        <v>140000</v>
      </c>
      <c r="F2" s="10" t="s">
        <v>132</v>
      </c>
      <c r="G2" s="6">
        <v>140134.07999999999</v>
      </c>
      <c r="H2" s="6">
        <v>96927.268671122816</v>
      </c>
      <c r="I2" s="6">
        <v>35011.351328877179</v>
      </c>
      <c r="J2" s="6">
        <v>1270.74</v>
      </c>
      <c r="K2" s="10">
        <f>SUM(costs[[#This Row],[HD_Budget]:[RFD_Budget]])</f>
        <v>400000</v>
      </c>
      <c r="L2" s="6">
        <f>SUM(costs[[#This Row],[HD_Cost_5.4b]:[RFD_Cost_5.4b]])</f>
        <v>273343.43999999994</v>
      </c>
      <c r="M2" s="6">
        <f>costs[[#This Row],[Budget]]-costs[[#This Row],[Cost_5.4a]]</f>
        <v>126656.56000000006</v>
      </c>
    </row>
    <row r="3" spans="1:14" x14ac:dyDescent="0.25">
      <c r="A3">
        <v>2024</v>
      </c>
      <c r="B3" s="46">
        <v>88000</v>
      </c>
      <c r="C3" s="46">
        <v>62000</v>
      </c>
      <c r="D3" s="46">
        <v>96000</v>
      </c>
      <c r="E3" s="46">
        <v>184000</v>
      </c>
      <c r="F3" s="10"/>
      <c r="G3" s="6">
        <v>125138.34000000001</v>
      </c>
      <c r="H3" s="6">
        <v>18866.87</v>
      </c>
      <c r="I3" s="6">
        <v>31662.83</v>
      </c>
      <c r="J3" s="6">
        <v>140868.74</v>
      </c>
      <c r="K3" s="10">
        <f>SUM(costs[[#This Row],[HD_Budget]:[RFD_Budget]])</f>
        <v>430000</v>
      </c>
      <c r="L3" s="6">
        <f>SUM(costs[[#This Row],[HD_Cost_5.4b]:[RFD_Cost_5.4b]])</f>
        <v>316536.78000000003</v>
      </c>
      <c r="M3" s="6">
        <f>costs[[#This Row],[Budget]]-costs[[#This Row],[Cost_5.4a]]</f>
        <v>113463.21999999997</v>
      </c>
    </row>
    <row r="4" spans="1:14" x14ac:dyDescent="0.25">
      <c r="A4">
        <v>2025</v>
      </c>
      <c r="B4" s="10">
        <v>98000</v>
      </c>
      <c r="C4" s="10">
        <v>50000</v>
      </c>
      <c r="D4" s="10">
        <v>62000</v>
      </c>
      <c r="E4" s="46">
        <v>206000</v>
      </c>
      <c r="F4" s="10"/>
      <c r="G4" s="6"/>
      <c r="H4" s="6"/>
      <c r="I4" s="6"/>
      <c r="J4" s="6"/>
      <c r="K4" s="10">
        <f>SUM(costs[[#This Row],[HD_Budget]:[RFD_Budget]])</f>
        <v>416000</v>
      </c>
      <c r="L4" s="6">
        <f>SUM(costs[[#This Row],[HD_Cost_5.4b]:[RFD_Cost_5.4b]])</f>
        <v>0</v>
      </c>
      <c r="M4" s="6">
        <f>costs[[#This Row],[Budget]]-costs[[#This Row],[Cost_5.4a]]</f>
        <v>416000</v>
      </c>
    </row>
    <row r="10" spans="1:14" x14ac:dyDescent="0.25">
      <c r="L10" s="49"/>
      <c r="M10" s="49"/>
      <c r="N10" s="49"/>
    </row>
    <row r="11" spans="1:14" x14ac:dyDescent="0.25">
      <c r="L11" s="49"/>
      <c r="M11" s="49"/>
      <c r="N11" s="4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X85"/>
  <sheetViews>
    <sheetView topLeftCell="A46" workbookViewId="0">
      <selection activeCell="G63" sqref="G63"/>
    </sheetView>
  </sheetViews>
  <sheetFormatPr defaultRowHeight="15" x14ac:dyDescent="0.25"/>
  <cols>
    <col min="1" max="1" width="7.28515625" customWidth="1"/>
    <col min="2" max="2" width="21" customWidth="1"/>
    <col min="3" max="3" width="7.28515625" bestFit="1" customWidth="1"/>
    <col min="4" max="4" width="8.5703125" bestFit="1" customWidth="1"/>
    <col min="5" max="5" width="8.7109375" bestFit="1" customWidth="1"/>
    <col min="6" max="6" width="11.28515625" customWidth="1"/>
    <col min="7" max="7" width="19" customWidth="1"/>
    <col min="8" max="8" width="13" bestFit="1" customWidth="1"/>
    <col min="9" max="9" width="12" bestFit="1" customWidth="1"/>
    <col min="10" max="10" width="13.85546875" bestFit="1" customWidth="1"/>
    <col min="11" max="11" width="13.5703125" customWidth="1"/>
    <col min="12" max="13" width="11" customWidth="1"/>
    <col min="14" max="14" width="13.140625" bestFit="1" customWidth="1"/>
    <col min="15" max="15" width="15.140625" customWidth="1"/>
    <col min="16" max="16" width="14.85546875" bestFit="1" customWidth="1"/>
    <col min="17" max="17" width="13.7109375" customWidth="1"/>
    <col min="18" max="19" width="11.7109375" customWidth="1"/>
    <col min="20" max="20" width="12.140625" bestFit="1" customWidth="1"/>
    <col min="21" max="21" width="12.7109375" bestFit="1" customWidth="1"/>
    <col min="22" max="22" width="13" bestFit="1" customWidth="1"/>
    <col min="23" max="23" width="11.5703125" customWidth="1"/>
    <col min="24" max="24" width="12.28515625" bestFit="1" customWidth="1"/>
  </cols>
  <sheetData>
    <row r="1" spans="1:24" x14ac:dyDescent="0.25">
      <c r="A1" s="1" t="s">
        <v>69</v>
      </c>
      <c r="B1" t="s">
        <v>66</v>
      </c>
      <c r="C1" t="s">
        <v>36</v>
      </c>
      <c r="D1" s="3" t="s">
        <v>67</v>
      </c>
      <c r="E1" s="3" t="s">
        <v>74</v>
      </c>
      <c r="F1" s="24" t="s">
        <v>107</v>
      </c>
      <c r="G1" s="9" t="s">
        <v>127</v>
      </c>
      <c r="H1" s="9" t="s">
        <v>88</v>
      </c>
      <c r="I1" s="9" t="s">
        <v>104</v>
      </c>
      <c r="J1" s="1" t="s">
        <v>68</v>
      </c>
      <c r="K1" s="1" t="s">
        <v>73</v>
      </c>
      <c r="L1" s="1" t="s">
        <v>84</v>
      </c>
      <c r="M1" s="1" t="s">
        <v>86</v>
      </c>
      <c r="N1" s="1" t="s">
        <v>85</v>
      </c>
      <c r="O1" s="1" t="s">
        <v>98</v>
      </c>
      <c r="P1" s="1" t="s">
        <v>72</v>
      </c>
      <c r="Q1" s="1" t="s">
        <v>81</v>
      </c>
      <c r="R1" s="1" t="s">
        <v>82</v>
      </c>
      <c r="S1" s="1" t="s">
        <v>83</v>
      </c>
      <c r="T1" s="1" t="s">
        <v>99</v>
      </c>
      <c r="U1" s="1" t="s">
        <v>87</v>
      </c>
      <c r="V1" s="1" t="s">
        <v>100</v>
      </c>
      <c r="W1" s="1" t="s">
        <v>102</v>
      </c>
      <c r="X1" s="1" t="s">
        <v>103</v>
      </c>
    </row>
    <row r="2" spans="1:24" x14ac:dyDescent="0.25">
      <c r="A2" t="str">
        <f>data[[#This Row],[Year]] &amp;"-"&amp;data[[#This Row],[State]]</f>
        <v>2023-Austria</v>
      </c>
      <c r="B2" s="2" t="s">
        <v>8</v>
      </c>
      <c r="C2">
        <v>2023</v>
      </c>
      <c r="D2" s="3">
        <v>2</v>
      </c>
      <c r="E2" s="3">
        <v>2</v>
      </c>
      <c r="F2" s="16">
        <v>11000</v>
      </c>
      <c r="G2" s="8" t="str" cm="1">
        <f t="array" ref="G2">_xlfn.IFS(ISERROR(MATCH(data[[#This Row],[UID]],CoTwo[UID],0)), "Not in CO2", ISERROR(MATCH(data[[#This Row],[UID]],gdp[UID],0)), "Not in GDP", TRUE, "")</f>
        <v/>
      </c>
      <c r="H2" s="8">
        <f>data[[#This Row],[ESFBudget]]+data[[#This Row],[CSFBudget]]+data[[#This Row],[HDBudget]]+data[[#This Row],[RFDBudget]]</f>
        <v>7418.9394314816527</v>
      </c>
      <c r="I2" s="8">
        <f>ROUND(data[[#This Row],[ESFActual]]+data[[#This Row],[CSFActual]]+data[[#This Row],[HDActual]]+data[[#This Row],[RFDActual]],2)</f>
        <v>4944.8</v>
      </c>
      <c r="J2" s="6">
        <f>VLOOKUP(data[[#This Row],[UID]],gdp[],MATCH("Year-5",gdp[#Headers],0),FALSE)+VLOOKUP(data[[#This Row],[UID]],gdp[],MATCH("Year-4",gdp[#Headers],0),FALSE)+VLOOKUP(data[[#This Row],[UID]],gdp[],MATCH("Year-3",gdp[#Headers],0),FALSE)</f>
        <v>1333.347</v>
      </c>
      <c r="K2" s="17" cm="1">
        <f t="array" ref="K2">VLOOKUP(data[[#This Row],[UID]],CoTwo[#All],COLUMN(CoTwo[ESF_CO2_TONNES]),FALSE)</f>
        <v>576013.91399999999</v>
      </c>
      <c r="L2" s="7">
        <f>IF(data[[#This Row],[ESF]]=2,1,0)*(0.7*data[[#This Row],[ESFe]]/SUMIFS(data[ESFe],data[Year],data[[#This Row],[Year]],data[ESF],2)+0.3*data[[#This Row],[GDP_3Years]]/SUMIFS(data[GDP_3Years],data[Year],data[[#This Row],[Year]],data[ESF],2))</f>
        <v>1.952175705123476E-2</v>
      </c>
      <c r="M2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1.952175705123476E-2</v>
      </c>
      <c r="N2" s="8" cm="1">
        <f t="array" ref="N2">data[[#This Row],[ESF%Budget]]*VLOOKUP(data[[#This Row],[Year]],costs[#All],COLUMN(costs[ESF_Budget]),FALSE)</f>
        <v>1561.7405640987809</v>
      </c>
      <c r="O2" s="8" cm="1">
        <f t="array" ref="O2">data[[#This Row],[ESF%Actual]]*VLOOKUP(data[[#This Row],[Year]],costs[#All],COLUMN(costs[ESF_Cost_5.4b]),FALSE)</f>
        <v>683.48309467776551</v>
      </c>
      <c r="P2" s="17" cm="1">
        <f t="array" ref="P2">VLOOKUP(data[[#This Row],[UID]],CoTwo[#All],COLUMN(CoTwo[CSF_SET_CO2_TONNES]),FALSE)</f>
        <v>1214722.9548500001</v>
      </c>
      <c r="Q2" s="7">
        <f>IF(data[[#This Row],[CSF]]=2,1,0)*(0.7*data[[#This Row],[CSFe]]/SUMIFS(data[CSFe],data[Year],data[[#This Row],[Year]],data[CSF],2)+0.3*data[[#This Row],[GDP_3Years]]/SUMIFS(data[GDP_3Years],data[Year],data[[#This Row],[Year]],data[CSF],2))</f>
        <v>1.757294010617351E-2</v>
      </c>
      <c r="R2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1.757294010617351E-2</v>
      </c>
      <c r="S2" s="8" cm="1">
        <f t="array" ref="S2">data[[#This Row],[CSF%Budget]]*VLOOKUP(data[[#This Row],[Year]],costs[#All],COLUMN(costs[CSF_Budget]),FALSE)</f>
        <v>1405.8352084938808</v>
      </c>
      <c r="T2" s="8" cm="1">
        <f t="array" ref="T2">data[[#This Row],[CSF%Actual]]*VLOOKUP(data[[#This Row],[Year]],costs[#All],COLUMN(costs[CSF_Cost_5.4b]),FALSE)</f>
        <v>1703.2970870126294</v>
      </c>
      <c r="U2" s="8" cm="1">
        <f t="array" ref="U2">(data[[#This Row],[ESFBudget]]+data[[#This Row],[CSFBudget]])/(SUMIFS(data[ESFBudget],data[Year],data[[#This Row],[Year]])+SUMIFS(data[CSFBudget],data[Year],data[[#This Row],[Year]]))*VLOOKUP(data[[#This Row],[Year]],costs[#All],COLUMN(costs[HD_Budget]),FALSE)</f>
        <v>1854.7348578704132</v>
      </c>
      <c r="V2" s="8" cm="1">
        <f t="array" ref="V2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2535.0367081557802</v>
      </c>
      <c r="W2" s="8" cm="1">
        <f t="array" ref="W2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2596.6288010185785</v>
      </c>
      <c r="X2" s="8" cm="1">
        <f t="array" ref="X2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22.987788170599732</v>
      </c>
    </row>
    <row r="3" spans="1:24" x14ac:dyDescent="0.25">
      <c r="A3" t="str">
        <f>data[[#This Row],[Year]] &amp;"-"&amp;data[[#This Row],[State]]</f>
        <v>2023-Belgium</v>
      </c>
      <c r="B3" s="2" t="s">
        <v>9</v>
      </c>
      <c r="C3">
        <v>2023</v>
      </c>
      <c r="D3" s="3">
        <v>2</v>
      </c>
      <c r="E3" s="3">
        <v>2</v>
      </c>
      <c r="F3" s="16">
        <v>21000</v>
      </c>
      <c r="G3" s="8" t="str" cm="1">
        <f t="array" ref="G3">_xlfn.IFS(ISERROR(MATCH(data[[#This Row],[UID]],CoTwo[UID],0)), "Not in CO2", ISERROR(MATCH(data[[#This Row],[UID]],gdp[UID],0)), "Not in GDP", TRUE, "")</f>
        <v/>
      </c>
      <c r="H3" s="8">
        <f>data[[#This Row],[ESFBudget]]+data[[#This Row],[CSFBudget]]+data[[#This Row],[HDBudget]]+data[[#This Row],[RFDBudget]]</f>
        <v>14586.524460683628</v>
      </c>
      <c r="I3" s="8">
        <f>ROUND(data[[#This Row],[ESFActual]]+data[[#This Row],[CSFActual]]+data[[#This Row],[HDActual]]+data[[#This Row],[RFDActual]],2)</f>
        <v>11100.86</v>
      </c>
      <c r="J3" s="6">
        <f>VLOOKUP(data[[#This Row],[UID]],gdp[],MATCH("Year-5",gdp[#Headers],0),FALSE)+VLOOKUP(data[[#This Row],[UID]],gdp[],MATCH("Year-4",gdp[#Headers],0),FALSE)+VLOOKUP(data[[#This Row],[UID]],gdp[],MATCH("Year-3",gdp[#Headers],0),FALSE)</f>
        <v>1600.3119999999999</v>
      </c>
      <c r="K3" s="17" cm="1">
        <f t="array" ref="K3">VLOOKUP(data[[#This Row],[UID]],CoTwo[#All],COLUMN(CoTwo[ESF_CO2_TONNES]),FALSE)</f>
        <v>885657.35160000005</v>
      </c>
      <c r="L3" s="7">
        <f>IF(data[[#This Row],[ESF]]=2,1,0)*(0.7*data[[#This Row],[ESFe]]/SUMIFS(data[ESFe],data[Year],data[[#This Row],[Year]],data[ESF],2)+0.3*data[[#This Row],[GDP_3Years]]/SUMIFS(data[GDP_3Years],data[Year],data[[#This Row],[Year]],data[ESF],2))</f>
        <v>2.7633402552076684E-2</v>
      </c>
      <c r="M3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2.7633402552076684E-2</v>
      </c>
      <c r="N3" s="8" cm="1">
        <f t="array" ref="N3">data[[#This Row],[ESF%Budget]]*VLOOKUP(data[[#This Row],[Year]],costs[#All],COLUMN(costs[ESF_Budget]),FALSE)</f>
        <v>2210.6722041661346</v>
      </c>
      <c r="O3" s="8" cm="1">
        <f t="array" ref="O3">data[[#This Row],[ESF%Actual]]*VLOOKUP(data[[#This Row],[Year]],costs[#All],COLUMN(costs[ESF_Cost_5.4b]),FALSE)</f>
        <v>967.48276516304804</v>
      </c>
      <c r="P3" s="17" cm="1">
        <f t="array" ref="P3">VLOOKUP(data[[#This Row],[UID]],CoTwo[#All],COLUMN(CoTwo[CSF_SET_CO2_TONNES]),FALSE)</f>
        <v>4255742.5307999998</v>
      </c>
      <c r="Q3" s="7">
        <f>IF(data[[#This Row],[CSF]]=2,1,0)*(0.7*data[[#This Row],[CSFe]]/SUMIFS(data[CSFe],data[Year],data[[#This Row],[Year]],data[CSF],2)+0.3*data[[#This Row],[GDP_3Years]]/SUMIFS(data[GDP_3Years],data[Year],data[[#This Row],[Year]],data[CSF],2))</f>
        <v>4.5299219751341463E-2</v>
      </c>
      <c r="R3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4.5299219751341463E-2</v>
      </c>
      <c r="S3" s="8" cm="1">
        <f t="array" ref="S3">data[[#This Row],[CSF%Budget]]*VLOOKUP(data[[#This Row],[Year]],costs[#All],COLUMN(costs[CSF_Budget]),FALSE)</f>
        <v>3623.937580107317</v>
      </c>
      <c r="T3" s="8" cm="1">
        <f t="array" ref="T3">data[[#This Row],[CSF%Actual]]*VLOOKUP(data[[#This Row],[Year]],costs[#All],COLUMN(costs[CSF_Cost_5.4b]),FALSE)</f>
        <v>4390.7296434305072</v>
      </c>
      <c r="U3" s="8" cm="1">
        <f t="array" ref="U3">(data[[#This Row],[ESFBudget]]+data[[#This Row],[CSFBudget]])/(SUMIFS(data[ESFBudget],data[Year],data[[#This Row],[Year]])+SUMIFS(data[CSFBudget],data[Year],data[[#This Row],[Year]]))*VLOOKUP(data[[#This Row],[Year]],costs[#All],COLUMN(costs[HD_Budget]),FALSE)</f>
        <v>3646.6311151709065</v>
      </c>
      <c r="V3" s="8" cm="1">
        <f t="array" ref="V3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5691.0415337286549</v>
      </c>
      <c r="W3" s="8" cm="1">
        <f t="array" ref="W3">(data[[#This Row],[ESFBudget]]+data[[#This Row],[CSFBudget]])/(SUMIFS(data[ESFBudget],data[Year],data[[#This Row],[Year]])+SUMIFS(data[CSFBudget],data[Year],data[[#This Row],[Year]]))*VLOOKUP(data[[#This Row],[Year]],costs[#All],COLUMN(costs[RFD_Budget]),FALSE)</f>
        <v>5105.2835612392691</v>
      </c>
      <c r="X3" s="8" cm="1">
        <f t="array" ref="X3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51.606533675251242</v>
      </c>
    </row>
    <row r="4" spans="1:24" x14ac:dyDescent="0.25">
      <c r="A4" t="str">
        <f>data[[#This Row],[Year]] &amp;"-"&amp;data[[#This Row],[State]]</f>
        <v>2023-Bulgaria</v>
      </c>
      <c r="B4" s="2" t="s">
        <v>10</v>
      </c>
      <c r="C4">
        <v>2023</v>
      </c>
      <c r="D4" s="3">
        <v>2</v>
      </c>
      <c r="E4" s="3">
        <v>2</v>
      </c>
      <c r="F4" s="16">
        <v>4000</v>
      </c>
      <c r="G4" s="8" t="str" cm="1">
        <f t="array" ref="G4">_xlfn.IFS(ISERROR(MATCH(data[[#This Row],[UID]],CoTwo[UID],0)), "Not in CO2", ISERROR(MATCH(data[[#This Row],[UID]],gdp[UID],0)), "Not in GDP", TRUE, "")</f>
        <v/>
      </c>
      <c r="H4" s="8">
        <f>data[[#This Row],[ESFBudget]]+data[[#This Row],[CSFBudget]]+data[[#This Row],[HDBudget]]+data[[#This Row],[RFDBudget]]</f>
        <v>2692.2413540992179</v>
      </c>
      <c r="I4" s="8">
        <f>ROUND(data[[#This Row],[ESFActual]]+data[[#This Row],[CSFActual]]+data[[#This Row],[HDActual]]+data[[#This Row],[RFDActual]],2)</f>
        <v>1664.48</v>
      </c>
      <c r="J4" s="6">
        <f>VLOOKUP(data[[#This Row],[UID]],gdp[],MATCH("Year-5",gdp[#Headers],0),FALSE)+VLOOKUP(data[[#This Row],[UID]],gdp[],MATCH("Year-4",gdp[#Headers],0),FALSE)+VLOOKUP(data[[#This Row],[UID]],gdp[],MATCH("Year-3",gdp[#Headers],0),FALSE)</f>
        <v>205.34199999999998</v>
      </c>
      <c r="K4" s="17" cm="1">
        <f t="array" ref="K4">VLOOKUP(data[[#This Row],[UID]],CoTwo[#All],COLUMN(CoTwo[ESF_CO2_TONNES]),FALSE)</f>
        <v>324063.40995</v>
      </c>
      <c r="L4" s="7">
        <f>IF(data[[#This Row],[ESF]]=2,1,0)*(0.7*data[[#This Row],[ESFe]]/SUMIFS(data[ESFe],data[Year],data[[#This Row],[Year]],data[ESF],2)+0.3*data[[#This Row],[GDP_3Years]]/SUMIFS(data[GDP_3Years],data[Year],data[[#This Row],[Year]],data[ESF],2))</f>
        <v>8.0971351394091007E-3</v>
      </c>
      <c r="M4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8.0971351394091007E-3</v>
      </c>
      <c r="N4" s="8" cm="1">
        <f t="array" ref="N4">data[[#This Row],[ESF%Budget]]*VLOOKUP(data[[#This Row],[Year]],costs[#All],COLUMN(costs[ESF_Budget]),FALSE)</f>
        <v>647.77081115272802</v>
      </c>
      <c r="O4" s="8" cm="1">
        <f t="array" ref="O4">data[[#This Row],[ESF%Actual]]*VLOOKUP(data[[#This Row],[Year]],costs[#All],COLUMN(costs[ESF_Cost_5.4b]),FALSE)</f>
        <v>283.49164312324893</v>
      </c>
      <c r="P4" s="17" cm="1">
        <f t="array" ref="P4">VLOOKUP(data[[#This Row],[UID]],CoTwo[#All],COLUMN(CoTwo[CSF_SET_CO2_TONNES]),FALSE)</f>
        <v>494241.91159999999</v>
      </c>
      <c r="Q4" s="7">
        <f>IF(data[[#This Row],[CSF]]=2,1,0)*(0.7*data[[#This Row],[CSFe]]/SUMIFS(data[CSFe],data[Year],data[[#This Row],[Year]],data[CSF],2)+0.3*data[[#This Row],[GDP_3Years]]/SUMIFS(data[GDP_3Years],data[Year],data[[#This Row],[Year]],data[CSF],2))</f>
        <v>5.3640716310869915E-3</v>
      </c>
      <c r="R4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5.3640716310869915E-3</v>
      </c>
      <c r="S4" s="8" cm="1">
        <f t="array" ref="S4">data[[#This Row],[CSF%Budget]]*VLOOKUP(data[[#This Row],[Year]],costs[#All],COLUMN(costs[CSF_Budget]),FALSE)</f>
        <v>429.1257304869593</v>
      </c>
      <c r="T4" s="8" cm="1">
        <f t="array" ref="T4">data[[#This Row],[CSF%Actual]]*VLOOKUP(data[[#This Row],[Year]],costs[#All],COLUMN(costs[CSF_Cost_5.4b]),FALSE)</f>
        <v>519.92481215751684</v>
      </c>
      <c r="U4" s="8" cm="1">
        <f t="array" ref="U4">(data[[#This Row],[ESFBudget]]+data[[#This Row],[CSFBudget]])/(SUMIFS(data[ESFBudget],data[Year],data[[#This Row],[Year]])+SUMIFS(data[CSFBudget],data[Year],data[[#This Row],[Year]]))*VLOOKUP(data[[#This Row],[Year]],costs[#All],COLUMN(costs[HD_Budget]),FALSE)</f>
        <v>673.06033852480448</v>
      </c>
      <c r="V4" s="8" cm="1">
        <f t="array" ref="V4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853.32123238541737</v>
      </c>
      <c r="W4" s="8" cm="1">
        <f t="array" ref="W4">(data[[#This Row],[ESFBudget]]+data[[#This Row],[CSFBudget]])/(SUMIFS(data[ESFBudget],data[Year],data[[#This Row],[Year]])+SUMIFS(data[CSFBudget],data[Year],data[[#This Row],[Year]]))*VLOOKUP(data[[#This Row],[Year]],costs[#All],COLUMN(costs[RFD_Budget]),FALSE)</f>
        <v>942.28447393472618</v>
      </c>
      <c r="X4" s="8" cm="1">
        <f t="array" ref="X4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7.7379422824301223</v>
      </c>
    </row>
    <row r="5" spans="1:24" x14ac:dyDescent="0.25">
      <c r="A5" t="str">
        <f>data[[#This Row],[Year]] &amp;"-"&amp;data[[#This Row],[State]]</f>
        <v>2023-Croatia</v>
      </c>
      <c r="B5" s="2" t="s">
        <v>11</v>
      </c>
      <c r="C5">
        <v>2023</v>
      </c>
      <c r="D5" s="3">
        <v>2</v>
      </c>
      <c r="E5" s="3">
        <v>2</v>
      </c>
      <c r="F5" s="16">
        <v>3000</v>
      </c>
      <c r="G5" s="8" t="str" cm="1">
        <f t="array" ref="G5">_xlfn.IFS(ISERROR(MATCH(data[[#This Row],[UID]],CoTwo[UID],0)), "Not in CO2", ISERROR(MATCH(data[[#This Row],[UID]],gdp[UID],0)), "Not in GDP", TRUE, "")</f>
        <v/>
      </c>
      <c r="H5" s="8">
        <f>data[[#This Row],[ESFBudget]]+data[[#This Row],[CSFBudget]]+data[[#This Row],[HDBudget]]+data[[#This Row],[RFDBudget]]</f>
        <v>2041.9518533864475</v>
      </c>
      <c r="I5" s="8">
        <f>ROUND(data[[#This Row],[ESFActual]]+data[[#This Row],[CSFActual]]+data[[#This Row],[HDActual]]+data[[#This Row],[RFDActual]],2)</f>
        <v>1210.82</v>
      </c>
      <c r="J5" s="6">
        <f>VLOOKUP(data[[#This Row],[UID]],gdp[],MATCH("Year-5",gdp[#Headers],0),FALSE)+VLOOKUP(data[[#This Row],[UID]],gdp[],MATCH("Year-4",gdp[#Headers],0),FALSE)+VLOOKUP(data[[#This Row],[UID]],gdp[],MATCH("Year-3",gdp[#Headers],0),FALSE)</f>
        <v>181.69800000000001</v>
      </c>
      <c r="K5" s="17" cm="1">
        <f t="array" ref="K5">VLOOKUP(data[[#This Row],[UID]],CoTwo[#All],COLUMN(CoTwo[ESF_CO2_TONNES]),FALSE)</f>
        <v>258034.40460000001</v>
      </c>
      <c r="L5" s="7">
        <f>IF(data[[#This Row],[ESF]]=2,1,0)*(0.7*data[[#This Row],[ESFe]]/SUMIFS(data[ESFe],data[Year],data[[#This Row],[Year]],data[ESF],2)+0.3*data[[#This Row],[GDP_3Years]]/SUMIFS(data[GDP_3Years],data[Year],data[[#This Row],[Year]],data[ESF],2))</f>
        <v>6.5436949906667666E-3</v>
      </c>
      <c r="M5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6.5436949906667666E-3</v>
      </c>
      <c r="N5" s="8" cm="1">
        <f t="array" ref="N5">data[[#This Row],[ESF%Budget]]*VLOOKUP(data[[#This Row],[Year]],costs[#All],COLUMN(costs[ESF_Budget]),FALSE)</f>
        <v>523.49559925334131</v>
      </c>
      <c r="O5" s="8" cm="1">
        <f t="array" ref="O5">data[[#This Row],[ESF%Actual]]*VLOOKUP(data[[#This Row],[Year]],costs[#All],COLUMN(costs[ESF_Cost_5.4b]),FALSE)</f>
        <v>229.10360430724785</v>
      </c>
      <c r="P5" s="17" cm="1">
        <f t="array" ref="P5">VLOOKUP(data[[#This Row],[UID]],CoTwo[#All],COLUMN(CoTwo[CSF_SET_CO2_TONNES]),FALSE)</f>
        <v>312470.0624</v>
      </c>
      <c r="Q5" s="7">
        <f>IF(data[[#This Row],[CSF]]=2,1,0)*(0.7*data[[#This Row],[CSFe]]/SUMIFS(data[CSFe],data[Year],data[[#This Row],[Year]],data[CSF],2)+0.3*data[[#This Row],[GDP_3Years]]/SUMIFS(data[GDP_3Years],data[Year],data[[#This Row],[Year]],data[CSF],2))</f>
        <v>3.6660642762654716E-3</v>
      </c>
      <c r="R5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3.6660642762654716E-3</v>
      </c>
      <c r="S5" s="8" cm="1">
        <f t="array" ref="S5">data[[#This Row],[CSF%Budget]]*VLOOKUP(data[[#This Row],[Year]],costs[#All],COLUMN(costs[CSF_Budget]),FALSE)</f>
        <v>293.28514210123774</v>
      </c>
      <c r="T5" s="8" cm="1">
        <f t="array" ref="T5">data[[#This Row],[CSF%Actual]]*VLOOKUP(data[[#This Row],[Year]],costs[#All],COLUMN(costs[CSF_Cost_5.4b]),FALSE)</f>
        <v>355.3415970711888</v>
      </c>
      <c r="U5" s="8" cm="1">
        <f t="array" ref="U5">(data[[#This Row],[ESFBudget]]+data[[#This Row],[CSFBudget]])/(SUMIFS(data[ESFBudget],data[Year],data[[#This Row],[Year]])+SUMIFS(data[CSFBudget],data[Year],data[[#This Row],[Year]]))*VLOOKUP(data[[#This Row],[Year]],costs[#All],COLUMN(costs[HD_Budget]),FALSE)</f>
        <v>510.48796334661176</v>
      </c>
      <c r="V5" s="8" cm="1">
        <f t="array" ref="V5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620.74842533279468</v>
      </c>
      <c r="W5" s="8" cm="1">
        <f t="array" ref="W5">(data[[#This Row],[ESFBudget]]+data[[#This Row],[CSFBudget]])/(SUMIFS(data[ESFBudget],data[Year],data[[#This Row],[Year]])+SUMIFS(data[CSFBudget],data[Year],data[[#This Row],[Year]]))*VLOOKUP(data[[#This Row],[Year]],costs[#All],COLUMN(costs[RFD_Budget]),FALSE)</f>
        <v>714.68314868525647</v>
      </c>
      <c r="X5" s="8" cm="1">
        <f t="array" ref="X5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5.6289651597055874</v>
      </c>
    </row>
    <row r="6" spans="1:24" x14ac:dyDescent="0.25">
      <c r="A6" t="str">
        <f>data[[#This Row],[Year]] &amp;"-"&amp;data[[#This Row],[State]]</f>
        <v>2023-Cyprus</v>
      </c>
      <c r="B6" s="2" t="s">
        <v>12</v>
      </c>
      <c r="C6">
        <v>2023</v>
      </c>
      <c r="D6" s="3">
        <v>2</v>
      </c>
      <c r="E6" s="3">
        <v>2</v>
      </c>
      <c r="F6" s="16">
        <v>4000</v>
      </c>
      <c r="G6" s="8" t="str" cm="1">
        <f t="array" ref="G6">_xlfn.IFS(ISERROR(MATCH(data[[#This Row],[UID]],CoTwo[UID],0)), "Not in CO2", ISERROR(MATCH(data[[#This Row],[UID]],gdp[UID],0)), "Not in GDP", TRUE, "")</f>
        <v/>
      </c>
      <c r="H6" s="8">
        <f>data[[#This Row],[ESFBudget]]+data[[#This Row],[CSFBudget]]+data[[#This Row],[HDBudget]]+data[[#This Row],[RFDBudget]]</f>
        <v>2531.7272631587157</v>
      </c>
      <c r="I6" s="8">
        <f>ROUND(data[[#This Row],[ESFActual]]+data[[#This Row],[CSFActual]]+data[[#This Row],[HDActual]]+data[[#This Row],[RFDActual]],2)</f>
        <v>1578.96</v>
      </c>
      <c r="J6" s="6">
        <f>VLOOKUP(data[[#This Row],[UID]],gdp[],MATCH("Year-5",gdp[#Headers],0),FALSE)+VLOOKUP(data[[#This Row],[UID]],gdp[],MATCH("Year-4",gdp[#Headers],0),FALSE)+VLOOKUP(data[[#This Row],[UID]],gdp[],MATCH("Year-3",gdp[#Headers],0),FALSE)</f>
        <v>75.968999999999994</v>
      </c>
      <c r="K6" s="17" cm="1">
        <f t="array" ref="K6">VLOOKUP(data[[#This Row],[UID]],CoTwo[#All],COLUMN(CoTwo[ESF_CO2_TONNES]),FALSE)</f>
        <v>328479.16814999998</v>
      </c>
      <c r="L6" s="7">
        <f>IF(data[[#This Row],[ESF]]=2,1,0)*(0.7*data[[#This Row],[ESFe]]/SUMIFS(data[ESFe],data[Year],data[[#This Row],[Year]],data[ESF],2)+0.3*data[[#This Row],[GDP_3Years]]/SUMIFS(data[GDP_3Years],data[Year],data[[#This Row],[Year]],data[ESF],2))</f>
        <v>7.5073678734422196E-3</v>
      </c>
      <c r="M6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7.5073678734422196E-3</v>
      </c>
      <c r="N6" s="8" cm="1">
        <f t="array" ref="N6">data[[#This Row],[ESF%Budget]]*VLOOKUP(data[[#This Row],[Year]],costs[#All],COLUMN(costs[ESF_Budget]),FALSE)</f>
        <v>600.58942987537762</v>
      </c>
      <c r="O6" s="8" cm="1">
        <f t="array" ref="O6">data[[#This Row],[ESF%Actual]]*VLOOKUP(data[[#This Row],[Year]],costs[#All],COLUMN(costs[ESF_Cost_5.4b]),FALSE)</f>
        <v>262.84309417221112</v>
      </c>
      <c r="P6" s="17" cm="1">
        <f t="array" ref="P6">VLOOKUP(data[[#This Row],[UID]],CoTwo[#All],COLUMN(CoTwo[CSF_SET_CO2_TONNES]),FALSE)</f>
        <v>548848.17075000005</v>
      </c>
      <c r="Q6" s="7">
        <f>IF(data[[#This Row],[CSF]]=2,1,0)*(0.7*data[[#This Row],[CSFe]]/SUMIFS(data[CSFe],data[Year],data[[#This Row],[Year]],data[CSF],2)+0.3*data[[#This Row],[GDP_3Years]]/SUMIFS(data[GDP_3Years],data[Year],data[[#This Row],[Year]],data[CSF],2))</f>
        <v>5.1512684423513583E-3</v>
      </c>
      <c r="R6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5.1512684423513583E-3</v>
      </c>
      <c r="S6" s="8" cm="1">
        <f t="array" ref="S6">data[[#This Row],[CSF%Budget]]*VLOOKUP(data[[#This Row],[Year]],costs[#All],COLUMN(costs[CSF_Budget]),FALSE)</f>
        <v>412.10147538810867</v>
      </c>
      <c r="T6" s="8" cm="1">
        <f t="array" ref="T6">data[[#This Row],[CSF%Actual]]*VLOOKUP(data[[#This Row],[Year]],costs[#All],COLUMN(costs[CSF_Cost_5.4b]),FALSE)</f>
        <v>499.29838030886646</v>
      </c>
      <c r="U6" s="8" cm="1">
        <f t="array" ref="U6">(data[[#This Row],[ESFBudget]]+data[[#This Row],[CSFBudget]])/(SUMIFS(data[ESFBudget],data[Year],data[[#This Row],[Year]])+SUMIFS(data[CSFBudget],data[Year],data[[#This Row],[Year]]))*VLOOKUP(data[[#This Row],[Year]],costs[#All],COLUMN(costs[HD_Budget]),FALSE)</f>
        <v>632.93181578967881</v>
      </c>
      <c r="V6" s="8" cm="1">
        <f t="array" ref="V6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809.48242717901178</v>
      </c>
      <c r="W6" s="8" cm="1">
        <f t="array" ref="W6">(data[[#This Row],[ESFBudget]]+data[[#This Row],[CSFBudget]])/(SUMIFS(data[ESFBudget],data[Year],data[[#This Row],[Year]])+SUMIFS(data[CSFBudget],data[Year],data[[#This Row],[Year]]))*VLOOKUP(data[[#This Row],[Year]],costs[#All],COLUMN(costs[RFD_Budget]),FALSE)</f>
        <v>886.10454210555031</v>
      </c>
      <c r="X6" s="8" cm="1">
        <f t="array" ref="X6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7.3404106946251586</v>
      </c>
    </row>
    <row r="7" spans="1:24" x14ac:dyDescent="0.25">
      <c r="A7" t="str">
        <f>data[[#This Row],[Year]] &amp;"-"&amp;data[[#This Row],[State]]</f>
        <v>2023-Czech Republic</v>
      </c>
      <c r="B7" s="2" t="s">
        <v>13</v>
      </c>
      <c r="C7">
        <v>2023</v>
      </c>
      <c r="D7" s="3">
        <v>2</v>
      </c>
      <c r="E7" s="3">
        <v>2</v>
      </c>
      <c r="F7" s="16">
        <v>5000</v>
      </c>
      <c r="G7" s="8" t="str" cm="1">
        <f t="array" ref="G7">_xlfn.IFS(ISERROR(MATCH(data[[#This Row],[UID]],CoTwo[UID],0)), "Not in CO2", ISERROR(MATCH(data[[#This Row],[UID]],gdp[UID],0)), "Not in GDP", TRUE, "")</f>
        <v/>
      </c>
      <c r="H7" s="16">
        <f>data[[#This Row],[ESFBudget]]+data[[#This Row],[CSFBudget]]+data[[#This Row],[HDBudget]]+data[[#This Row],[RFDBudget]]</f>
        <v>3348.6317251715709</v>
      </c>
      <c r="I7" s="8">
        <f>ROUND(data[[#This Row],[ESFActual]]+data[[#This Row],[CSFActual]]+data[[#This Row],[HDActual]]+data[[#This Row],[RFDActual]],2)</f>
        <v>2255.23</v>
      </c>
      <c r="J7" s="6">
        <f>VLOOKUP(data[[#This Row],[UID]],gdp[],MATCH("Year-5",gdp[#Headers],0),FALSE)+VLOOKUP(data[[#This Row],[UID]],gdp[],MATCH("Year-4",gdp[#Headers],0),FALSE)+VLOOKUP(data[[#This Row],[UID]],gdp[],MATCH("Year-3",gdp[#Headers],0),FALSE)</f>
        <v>746.78700000000003</v>
      </c>
      <c r="K7" s="17" cm="1">
        <f t="array" ref="K7">VLOOKUP(data[[#This Row],[UID]],CoTwo[#All],COLUMN(CoTwo[ESF_CO2_TONNES]),FALSE)</f>
        <v>216082.1943</v>
      </c>
      <c r="L7" s="7">
        <f>IF(data[[#This Row],[ESF]]=2,1,0)*(0.7*data[[#This Row],[ESFe]]/SUMIFS(data[ESFe],data[Year],data[[#This Row],[Year]],data[ESF],2)+0.3*data[[#This Row],[GDP_3Years]]/SUMIFS(data[GDP_3Years],data[Year],data[[#This Row],[Year]],data[ESF],2))</f>
        <v>8.6295099524372129E-3</v>
      </c>
      <c r="M7" s="18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8.6295099524372129E-3</v>
      </c>
      <c r="N7" s="8" cm="1">
        <f t="array" ref="N7">data[[#This Row],[ESF%Budget]]*VLOOKUP(data[[#This Row],[Year]],costs[#All],COLUMN(costs[ESF_Budget]),FALSE)</f>
        <v>690.36079619497707</v>
      </c>
      <c r="O7" s="8" cm="1">
        <f t="array" ref="O7">data[[#This Row],[ESF%Actual]]*VLOOKUP(data[[#This Row],[Year]],costs[#All],COLUMN(costs[ESF_Cost_5.4b]),FALSE)</f>
        <v>302.13080474082147</v>
      </c>
      <c r="P7" s="17" cm="1">
        <f t="array" ref="P7">VLOOKUP(data[[#This Row],[UID]],CoTwo[#All],COLUMN(CoTwo[CSF_SET_CO2_TONNES]),FALSE)</f>
        <v>480555.72454999998</v>
      </c>
      <c r="Q7" s="18">
        <f>IF(data[[#This Row],[CSF]]=2,1,0)*(0.7*data[[#This Row],[CSFe]]/SUMIFS(data[CSFe],data[Year],data[[#This Row],[Year]],data[CSF],2)+0.3*data[[#This Row],[GDP_3Years]]/SUMIFS(data[GDP_3Years],data[Year],data[[#This Row],[Year]],data[CSF],2))</f>
        <v>8.1136486734206432E-3</v>
      </c>
      <c r="R7" s="18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8.1136486734206432E-3</v>
      </c>
      <c r="S7" s="8" cm="1">
        <f t="array" ref="S7">data[[#This Row],[CSF%Budget]]*VLOOKUP(data[[#This Row],[Year]],costs[#All],COLUMN(costs[CSF_Budget]),FALSE)</f>
        <v>649.09189387365143</v>
      </c>
      <c r="T7" s="8" cm="1">
        <f t="array" ref="T7">data[[#This Row],[CSF%Actual]]*VLOOKUP(data[[#This Row],[Year]],costs[#All],COLUMN(costs[CSF_Cost_5.4b]),FALSE)</f>
        <v>786.43380487174193</v>
      </c>
      <c r="U7" s="8" cm="1">
        <f t="array" ref="U7">(data[[#This Row],[ESFBudget]]+data[[#This Row],[CSFBudget]])/(SUMIFS(data[ESFBudget],data[Year],data[[#This Row],[Year]])+SUMIFS(data[CSFBudget],data[Year],data[[#This Row],[Year]]))*VLOOKUP(data[[#This Row],[Year]],costs[#All],COLUMN(costs[HD_Budget]),FALSE)</f>
        <v>837.15793129289261</v>
      </c>
      <c r="V7" s="8" cm="1">
        <f t="array" ref="V7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1156.1815644927599</v>
      </c>
      <c r="W7" s="8" cm="1">
        <f t="array" ref="W7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1172.0211038100497</v>
      </c>
      <c r="X7" s="8" cm="1">
        <f t="array" ref="X7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10.484288770180173</v>
      </c>
    </row>
    <row r="8" spans="1:24" x14ac:dyDescent="0.25">
      <c r="A8" t="str">
        <f>data[[#This Row],[Year]] &amp;"-"&amp;data[[#This Row],[State]]</f>
        <v>2023-Denmark</v>
      </c>
      <c r="B8" s="2" t="s">
        <v>14</v>
      </c>
      <c r="C8">
        <v>2023</v>
      </c>
      <c r="D8" s="3">
        <v>2</v>
      </c>
      <c r="E8" s="3">
        <v>2</v>
      </c>
      <c r="F8" s="16">
        <v>10000</v>
      </c>
      <c r="G8" s="8" t="str" cm="1">
        <f t="array" ref="G8">_xlfn.IFS(ISERROR(MATCH(data[[#This Row],[UID]],CoTwo[UID],0)), "Not in CO2", ISERROR(MATCH(data[[#This Row],[UID]],gdp[UID],0)), "Not in GDP", TRUE, "")</f>
        <v/>
      </c>
      <c r="H8" s="8">
        <f>data[[#This Row],[ESFBudget]]+data[[#This Row],[CSFBudget]]+data[[#This Row],[HDBudget]]+data[[#This Row],[RFDBudget]]</f>
        <v>7041.8515442262506</v>
      </c>
      <c r="I8" s="8">
        <f>ROUND(data[[#This Row],[ESFActual]]+data[[#This Row],[CSFActual]]+data[[#This Row],[HDActual]]+data[[#This Row],[RFDActual]],2)</f>
        <v>4683.99</v>
      </c>
      <c r="J8" s="6">
        <f>VLOOKUP(data[[#This Row],[UID]],gdp[],MATCH("Year-5",gdp[#Headers],0),FALSE)+VLOOKUP(data[[#This Row],[UID]],gdp[],MATCH("Year-4",gdp[#Headers],0),FALSE)+VLOOKUP(data[[#This Row],[UID]],gdp[],MATCH("Year-3",gdp[#Headers],0),FALSE)</f>
        <v>1060.4870000000001</v>
      </c>
      <c r="K8" s="17" cm="1">
        <f t="array" ref="K8">VLOOKUP(data[[#This Row],[UID]],CoTwo[#All],COLUMN(CoTwo[ESF_CO2_TONNES]),FALSE)</f>
        <v>600378.51824999996</v>
      </c>
      <c r="L8" s="7">
        <f>IF(data[[#This Row],[ESF]]=2,1,0)*(0.7*data[[#This Row],[ESFe]]/SUMIFS(data[ESFe],data[Year],data[[#This Row],[Year]],data[ESF],2)+0.3*data[[#This Row],[GDP_3Years]]/SUMIFS(data[GDP_3Years],data[Year],data[[#This Row],[Year]],data[ESF],2))</f>
        <v>1.8603440512953862E-2</v>
      </c>
      <c r="M8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1.8603440512953862E-2</v>
      </c>
      <c r="N8" s="8" cm="1">
        <f t="array" ref="N8">data[[#This Row],[ESF%Budget]]*VLOOKUP(data[[#This Row],[Year]],costs[#All],COLUMN(costs[ESF_Budget]),FALSE)</f>
        <v>1488.2752410363089</v>
      </c>
      <c r="O8" s="8" cm="1">
        <f t="array" ref="O8">data[[#This Row],[ESF%Actual]]*VLOOKUP(data[[#This Row],[Year]],costs[#All],COLUMN(costs[ESF_Cost_5.4b]),FALSE)</f>
        <v>651.33159172489479</v>
      </c>
      <c r="P8" s="17" cm="1">
        <f t="array" ref="P8">VLOOKUP(data[[#This Row],[UID]],CoTwo[#All],COLUMN(CoTwo[CSF_SET_CO2_TONNES]),FALSE)</f>
        <v>1269990.38595</v>
      </c>
      <c r="Q8" s="7">
        <f>IF(data[[#This Row],[CSF]]=2,1,0)*(0.7*data[[#This Row],[CSFe]]/SUMIFS(data[CSFe],data[Year],data[[#This Row],[Year]],data[CSF],2)+0.3*data[[#This Row],[GDP_3Years]]/SUMIFS(data[GDP_3Years],data[Year],data[[#This Row],[Year]],data[CSF],2))</f>
        <v>1.6605817208177394E-2</v>
      </c>
      <c r="R8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1.6605817208177394E-2</v>
      </c>
      <c r="S8" s="8" cm="1">
        <f t="array" ref="S8">data[[#This Row],[CSF%Budget]]*VLOOKUP(data[[#This Row],[Year]],costs[#All],COLUMN(costs[CSF_Budget]),FALSE)</f>
        <v>1328.4653766541915</v>
      </c>
      <c r="T8" s="8" cm="1">
        <f t="array" ref="T8">data[[#This Row],[CSF%Actual]]*VLOOKUP(data[[#This Row],[Year]],costs[#All],COLUMN(costs[CSF_Cost_5.4b]),FALSE)</f>
        <v>1609.556506040565</v>
      </c>
      <c r="U8" s="8" cm="1">
        <f t="array" ref="U8">(data[[#This Row],[ESFBudget]]+data[[#This Row],[CSFBudget]])/(SUMIFS(data[ESFBudget],data[Year],data[[#This Row],[Year]])+SUMIFS(data[CSFBudget],data[Year],data[[#This Row],[Year]]))*VLOOKUP(data[[#This Row],[Year]],costs[#All],COLUMN(costs[HD_Budget]),FALSE)</f>
        <v>1760.4628860565626</v>
      </c>
      <c r="V8" s="8" cm="1">
        <f t="array" ref="V8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2401.3247490637145</v>
      </c>
      <c r="W8" s="8" cm="1">
        <f t="array" ref="W8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2464.6480404791878</v>
      </c>
      <c r="X8" s="8" cm="1">
        <f t="array" ref="X8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21.775284153756353</v>
      </c>
    </row>
    <row r="9" spans="1:24" x14ac:dyDescent="0.25">
      <c r="A9" t="str">
        <f>data[[#This Row],[Year]] &amp;"-"&amp;data[[#This Row],[State]]</f>
        <v>2023-Estonia</v>
      </c>
      <c r="B9" s="2" t="s">
        <v>15</v>
      </c>
      <c r="C9">
        <v>2023</v>
      </c>
      <c r="D9" s="3">
        <v>2</v>
      </c>
      <c r="E9" s="3">
        <v>2</v>
      </c>
      <c r="F9" s="16">
        <v>2000</v>
      </c>
      <c r="G9" s="8" t="str" cm="1">
        <f t="array" ref="G9">_xlfn.IFS(ISERROR(MATCH(data[[#This Row],[UID]],CoTwo[UID],0)), "Not in CO2", ISERROR(MATCH(data[[#This Row],[UID]],gdp[UID],0)), "Not in GDP", TRUE, "")</f>
        <v/>
      </c>
      <c r="H9" s="8">
        <f>data[[#This Row],[ESFBudget]]+data[[#This Row],[CSFBudget]]+data[[#This Row],[HDBudget]]+data[[#This Row],[RFDBudget]]</f>
        <v>743.08345587211181</v>
      </c>
      <c r="I9" s="8">
        <f>ROUND(data[[#This Row],[ESFActual]]+data[[#This Row],[CSFActual]]+data[[#This Row],[HDActual]]+data[[#This Row],[RFDActual]],2)</f>
        <v>482.65</v>
      </c>
      <c r="J9" s="6">
        <f>VLOOKUP(data[[#This Row],[UID]],gdp[],MATCH("Year-5",gdp[#Headers],0),FALSE)+VLOOKUP(data[[#This Row],[UID]],gdp[],MATCH("Year-4",gdp[#Headers],0),FALSE)+VLOOKUP(data[[#This Row],[UID]],gdp[],MATCH("Year-3",gdp[#Headers],0),FALSE)</f>
        <v>92.177999999999997</v>
      </c>
      <c r="K9" s="17" cm="1">
        <f t="array" ref="K9">VLOOKUP(data[[#This Row],[UID]],CoTwo[#All],COLUMN(CoTwo[ESF_CO2_TONNES]),FALSE)</f>
        <v>72373.795199999993</v>
      </c>
      <c r="L9" s="7">
        <f>IF(data[[#This Row],[ESF]]=2,1,0)*(0.7*data[[#This Row],[ESFe]]/SUMIFS(data[ESFe],data[Year],data[[#This Row],[Year]],data[ESF],2)+0.3*data[[#This Row],[GDP_3Years]]/SUMIFS(data[GDP_3Years],data[Year],data[[#This Row],[Year]],data[ESF],2))</f>
        <v>2.0536969316967252E-3</v>
      </c>
      <c r="M9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2.0536969316967252E-3</v>
      </c>
      <c r="N9" s="8" cm="1">
        <f t="array" ref="N9">data[[#This Row],[ESF%Budget]]*VLOOKUP(data[[#This Row],[Year]],costs[#All],COLUMN(costs[ESF_Budget]),FALSE)</f>
        <v>164.29575453573801</v>
      </c>
      <c r="O9" s="8" cm="1">
        <f t="array" ref="O9">data[[#This Row],[ESF%Actual]]*VLOOKUP(data[[#This Row],[Year]],costs[#All],COLUMN(costs[ESF_Cost_5.4b]),FALSE)</f>
        <v>71.902704798671124</v>
      </c>
      <c r="P9" s="17" cm="1">
        <f t="array" ref="P9">VLOOKUP(data[[#This Row],[UID]],CoTwo[#All],COLUMN(CoTwo[CSF_SET_CO2_TONNES]),FALSE)</f>
        <v>135622.14305000001</v>
      </c>
      <c r="Q9" s="7">
        <f>IF(data[[#This Row],[CSF]]=2,1,0)*(0.7*data[[#This Row],[CSFe]]/SUMIFS(data[CSFe],data[Year],data[[#This Row],[Year]],data[CSF],2)+0.3*data[[#This Row],[GDP_3Years]]/SUMIFS(data[GDP_3Years],data[Year],data[[#This Row],[Year]],data[CSF],2))</f>
        <v>1.6617203476638341E-3</v>
      </c>
      <c r="R9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1.6617203476638341E-3</v>
      </c>
      <c r="S9" s="8" cm="1">
        <f t="array" ref="S9">data[[#This Row],[CSF%Budget]]*VLOOKUP(data[[#This Row],[Year]],costs[#All],COLUMN(costs[CSF_Budget]),FALSE)</f>
        <v>132.93762781310673</v>
      </c>
      <c r="T9" s="8" cm="1">
        <f t="array" ref="T9">data[[#This Row],[CSF%Actual]]*VLOOKUP(data[[#This Row],[Year]],costs[#All],COLUMN(costs[CSF_Cost_5.4b]),FALSE)</f>
        <v>161.06601459428407</v>
      </c>
      <c r="U9" s="8" cm="1">
        <f t="array" ref="U9">(data[[#This Row],[ESFBudget]]+data[[#This Row],[CSFBudget]])/(SUMIFS(data[ESFBudget],data[Year],data[[#This Row],[Year]])+SUMIFS(data[CSFBudget],data[Year],data[[#This Row],[Year]]))*VLOOKUP(data[[#This Row],[Year]],costs[#All],COLUMN(costs[HD_Budget]),FALSE)</f>
        <v>185.77086396802795</v>
      </c>
      <c r="V9" s="8" cm="1">
        <f t="array" ref="V9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247.43973493818518</v>
      </c>
      <c r="W9" s="8" cm="1">
        <f t="array" ref="W9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260.07920955523912</v>
      </c>
      <c r="X9" s="8" cm="1">
        <f t="array" ref="X9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2.2437908663998756</v>
      </c>
    </row>
    <row r="10" spans="1:24" x14ac:dyDescent="0.25">
      <c r="A10" t="str">
        <f>data[[#This Row],[Year]] &amp;"-"&amp;data[[#This Row],[State]]</f>
        <v>2023-Finland</v>
      </c>
      <c r="B10" s="2" t="s">
        <v>16</v>
      </c>
      <c r="C10">
        <v>2023</v>
      </c>
      <c r="D10" s="3">
        <v>2</v>
      </c>
      <c r="E10" s="3">
        <v>2</v>
      </c>
      <c r="F10" s="16">
        <v>7000</v>
      </c>
      <c r="G10" s="8" t="str" cm="1">
        <f t="array" ref="G10">_xlfn.IFS(ISERROR(MATCH(data[[#This Row],[UID]],CoTwo[UID],0)), "Not in CO2", ISERROR(MATCH(data[[#This Row],[UID]],gdp[UID],0)), "Not in GDP", TRUE, "")</f>
        <v/>
      </c>
      <c r="H10" s="8">
        <f>data[[#This Row],[ESFBudget]]+data[[#This Row],[CSFBudget]]+data[[#This Row],[HDBudget]]+data[[#This Row],[RFDBudget]]</f>
        <v>4708.4148008081556</v>
      </c>
      <c r="I10" s="8">
        <f>ROUND(data[[#This Row],[ESFActual]]+data[[#This Row],[CSFActual]]+data[[#This Row],[HDActual]]+data[[#This Row],[RFDActual]],2)</f>
        <v>3184.94</v>
      </c>
      <c r="J10" s="6">
        <f>VLOOKUP(data[[#This Row],[UID]],gdp[],MATCH("Year-5",gdp[#Headers],0),FALSE)+VLOOKUP(data[[#This Row],[UID]],gdp[],MATCH("Year-4",gdp[#Headers],0),FALSE)+VLOOKUP(data[[#This Row],[UID]],gdp[],MATCH("Year-3",gdp[#Headers],0),FALSE)</f>
        <v>815.99699999999996</v>
      </c>
      <c r="K10" s="17" cm="1">
        <f t="array" ref="K10">VLOOKUP(data[[#This Row],[UID]],CoTwo[#All],COLUMN(CoTwo[ESF_CO2_TONNES]),FALSE)</f>
        <v>356123.34135</v>
      </c>
      <c r="L10" s="7">
        <f>IF(data[[#This Row],[ESF]]=2,1,0)*(0.7*data[[#This Row],[ESFe]]/SUMIFS(data[ESFe],data[Year],data[[#This Row],[Year]],data[ESF],2)+0.3*data[[#This Row],[GDP_3Years]]/SUMIFS(data[GDP_3Years],data[Year],data[[#This Row],[Year]],data[ESF],2))</f>
        <v>1.2025183820041694E-2</v>
      </c>
      <c r="M10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1.2025183820041694E-2</v>
      </c>
      <c r="N10" s="8" cm="1">
        <f t="array" ref="N10">data[[#This Row],[ESF%Budget]]*VLOOKUP(data[[#This Row],[Year]],costs[#All],COLUMN(costs[ESF_Budget]),FALSE)</f>
        <v>962.01470560333553</v>
      </c>
      <c r="O10" s="8" cm="1">
        <f t="array" ref="O10">data[[#This Row],[ESF%Actual]]*VLOOKUP(data[[#This Row],[Year]],costs[#All],COLUMN(costs[ESF_Cost_5.4b]),FALSE)</f>
        <v>421.01793551780912</v>
      </c>
      <c r="P10" s="17" cm="1">
        <f t="array" ref="P10">VLOOKUP(data[[#This Row],[UID]],CoTwo[#All],COLUMN(CoTwo[CSF_SET_CO2_TONNES]),FALSE)</f>
        <v>831514.22140000004</v>
      </c>
      <c r="Q10" s="7">
        <f>IF(data[[#This Row],[CSF]]=2,1,0)*(0.7*data[[#This Row],[CSFe]]/SUMIFS(data[CSFe],data[Year],data[[#This Row],[Year]],data[CSF],2)+0.3*data[[#This Row],[GDP_3Years]]/SUMIFS(data[GDP_3Years],data[Year],data[[#This Row],[Year]],data[CSF],2))</f>
        <v>1.1516890183999083E-2</v>
      </c>
      <c r="R10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1.1516890183999083E-2</v>
      </c>
      <c r="S10" s="8" cm="1">
        <f t="array" ref="S10">data[[#This Row],[CSF%Budget]]*VLOOKUP(data[[#This Row],[Year]],costs[#All],COLUMN(costs[CSF_Budget]),FALSE)</f>
        <v>921.3512147199267</v>
      </c>
      <c r="T10" s="8" cm="1">
        <f t="array" ref="T10">data[[#This Row],[CSF%Actual]]*VLOOKUP(data[[#This Row],[Year]],costs[#All],COLUMN(costs[CSF_Cost_5.4b]),FALSE)</f>
        <v>1116.3007091202962</v>
      </c>
      <c r="U10" s="8" cm="1">
        <f t="array" ref="U10">(data[[#This Row],[ESFBudget]]+data[[#This Row],[CSFBudget]])/(SUMIFS(data[ESFBudget],data[Year],data[[#This Row],[Year]])+SUMIFS(data[CSFBudget],data[Year],data[[#This Row],[Year]]))*VLOOKUP(data[[#This Row],[Year]],costs[#All],COLUMN(costs[HD_Budget]),FALSE)</f>
        <v>1177.1037002020387</v>
      </c>
      <c r="V10" s="8" cm="1">
        <f t="array" ref="V10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1632.8102714217252</v>
      </c>
      <c r="W10" s="8" cm="1">
        <f t="array" ref="W10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1647.9451802828542</v>
      </c>
      <c r="X10" s="8" cm="1">
        <f t="array" ref="X10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14.80637204244994</v>
      </c>
    </row>
    <row r="11" spans="1:24" x14ac:dyDescent="0.25">
      <c r="A11" t="str">
        <f>data[[#This Row],[Year]] &amp;"-"&amp;data[[#This Row],[State]]</f>
        <v>2023-France</v>
      </c>
      <c r="B11" s="2" t="s">
        <v>17</v>
      </c>
      <c r="C11">
        <v>2023</v>
      </c>
      <c r="D11" s="3">
        <v>2</v>
      </c>
      <c r="E11" s="3">
        <v>2</v>
      </c>
      <c r="F11" s="16">
        <v>66000</v>
      </c>
      <c r="G11" s="8" t="str" cm="1">
        <f t="array" ref="G11">_xlfn.IFS(ISERROR(MATCH(data[[#This Row],[UID]],CoTwo[UID],0)), "Not in CO2", ISERROR(MATCH(data[[#This Row],[UID]],gdp[UID],0)), "Not in GDP", TRUE, "")</f>
        <v/>
      </c>
      <c r="H11" s="8">
        <f>data[[#This Row],[ESFBudget]]+data[[#This Row],[CSFBudget]]+data[[#This Row],[HDBudget]]+data[[#This Row],[RFDBudget]]</f>
        <v>47678.908039252914</v>
      </c>
      <c r="I11" s="8">
        <f>ROUND(data[[#This Row],[ESFActual]]+data[[#This Row],[CSFActual]]+data[[#This Row],[HDActual]]+data[[#This Row],[RFDActual]],2)</f>
        <v>32859.89</v>
      </c>
      <c r="J11" s="6">
        <f>VLOOKUP(data[[#This Row],[UID]],gdp[],MATCH("Year-5",gdp[#Headers],0),FALSE)+VLOOKUP(data[[#This Row],[UID]],gdp[],MATCH("Year-4",gdp[#Headers],0),FALSE)+VLOOKUP(data[[#This Row],[UID]],gdp[],MATCH("Year-3",gdp[#Headers],0),FALSE)</f>
        <v>8141.7479999999996</v>
      </c>
      <c r="K11" s="17" cm="1">
        <f t="array" ref="K11">VLOOKUP(data[[#This Row],[UID]],CoTwo[#All],COLUMN(CoTwo[ESF_CO2_TONNES]),FALSE)</f>
        <v>3416708.1815999998</v>
      </c>
      <c r="L11" s="7">
        <f>IF(data[[#This Row],[ESF]]=2,1,0)*(0.7*data[[#This Row],[ESFe]]/SUMIFS(data[ESFe],data[Year],data[[#This Row],[Year]],data[ESF],2)+0.3*data[[#This Row],[GDP_3Years]]/SUMIFS(data[GDP_3Years],data[Year],data[[#This Row],[Year]],data[ESF],2))</f>
        <v>0.11702925392361221</v>
      </c>
      <c r="M11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0.11702925392361221</v>
      </c>
      <c r="N11" s="8" cm="1">
        <f t="array" ref="N11">data[[#This Row],[ESF%Budget]]*VLOOKUP(data[[#This Row],[Year]],costs[#All],COLUMN(costs[ESF_Budget]),FALSE)</f>
        <v>9362.3403138889771</v>
      </c>
      <c r="O11" s="8" cm="1">
        <f t="array" ref="O11">data[[#This Row],[ESF%Actual]]*VLOOKUP(data[[#This Row],[Year]],costs[#All],COLUMN(costs[ESF_Cost_5.4b]),FALSE)</f>
        <v>4097.3523248759657</v>
      </c>
      <c r="P11" s="17" cm="1">
        <f t="array" ref="P11">VLOOKUP(data[[#This Row],[UID]],CoTwo[#All],COLUMN(CoTwo[CSF_SET_CO2_TONNES]),FALSE)</f>
        <v>9042442.0377999991</v>
      </c>
      <c r="Q11" s="7">
        <f>IF(data[[#This Row],[CSF]]=2,1,0)*(0.7*data[[#This Row],[CSFe]]/SUMIFS(data[CSFe],data[Year],data[[#This Row],[Year]],data[CSF],2)+0.3*data[[#This Row],[GDP_3Years]]/SUMIFS(data[GDP_3Years],data[Year],data[[#This Row],[Year]],data[CSF],2))</f>
        <v>0.12136528627265233</v>
      </c>
      <c r="R11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0.12136528627265233</v>
      </c>
      <c r="S11" s="8" cm="1">
        <f t="array" ref="S11">data[[#This Row],[CSF%Budget]]*VLOOKUP(data[[#This Row],[Year]],costs[#All],COLUMN(costs[CSF_Budget]),FALSE)</f>
        <v>9709.222901812187</v>
      </c>
      <c r="T11" s="8" cm="1">
        <f t="array" ref="T11">data[[#This Row],[CSF%Actual]]*VLOOKUP(data[[#This Row],[Year]],costs[#All],COLUMN(costs[CSF_Cost_5.4b]),FALSE)</f>
        <v>11763.605709897107</v>
      </c>
      <c r="U11" s="8" cm="1">
        <f t="array" ref="U11">(data[[#This Row],[ESFBudget]]+data[[#This Row],[CSFBudget]])/(SUMIFS(data[ESFBudget],data[Year],data[[#This Row],[Year]])+SUMIFS(data[CSFBudget],data[Year],data[[#This Row],[Year]]))*VLOOKUP(data[[#This Row],[Year]],costs[#All],COLUMN(costs[HD_Budget]),FALSE)</f>
        <v>11919.727009813227</v>
      </c>
      <c r="V11" s="8" cm="1">
        <f t="array" ref="V11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16846.172577229721</v>
      </c>
      <c r="W11" s="8" cm="1">
        <f t="array" ref="W11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16687.617813738518</v>
      </c>
      <c r="X11" s="8" cm="1">
        <f t="array" ref="X11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152.7615933311076</v>
      </c>
    </row>
    <row r="12" spans="1:24" x14ac:dyDescent="0.25">
      <c r="A12" t="str">
        <f>data[[#This Row],[Year]] &amp;"-"&amp;data[[#This Row],[State]]</f>
        <v>2023-Germany</v>
      </c>
      <c r="B12" s="2" t="s">
        <v>18</v>
      </c>
      <c r="C12">
        <v>2023</v>
      </c>
      <c r="D12" s="3">
        <v>2</v>
      </c>
      <c r="E12" s="3">
        <v>2</v>
      </c>
      <c r="F12" s="16">
        <v>95000</v>
      </c>
      <c r="G12" s="8" t="str" cm="1">
        <f t="array" ref="G12">_xlfn.IFS(ISERROR(MATCH(data[[#This Row],[UID]],CoTwo[UID],0)), "Not in CO2", ISERROR(MATCH(data[[#This Row],[UID]],gdp[UID],0)), "Not in GDP", TRUE, "")</f>
        <v/>
      </c>
      <c r="H12" s="8">
        <f>data[[#This Row],[ESFBudget]]+data[[#This Row],[CSFBudget]]+data[[#This Row],[HDBudget]]+data[[#This Row],[RFDBudget]]</f>
        <v>68657.127412974573</v>
      </c>
      <c r="I12" s="8">
        <f>ROUND(data[[#This Row],[ESFActual]]+data[[#This Row],[CSFActual]]+data[[#This Row],[HDActual]]+data[[#This Row],[RFDActual]],2)</f>
        <v>50118.62</v>
      </c>
      <c r="J12" s="6">
        <f>VLOOKUP(data[[#This Row],[UID]],gdp[],MATCH("Year-5",gdp[#Headers],0),FALSE)+VLOOKUP(data[[#This Row],[UID]],gdp[],MATCH("Year-4",gdp[#Headers],0),FALSE)+VLOOKUP(data[[#This Row],[UID]],gdp[],MATCH("Year-3",gdp[#Headers],0),FALSE)</f>
        <v>11711.184000000001</v>
      </c>
      <c r="K12" s="17" cm="1">
        <f t="array" ref="K12">VLOOKUP(data[[#This Row],[UID]],CoTwo[#All],COLUMN(CoTwo[ESF_CO2_TONNES]),FALSE)</f>
        <v>3913737.9750000001</v>
      </c>
      <c r="L12" s="7">
        <f>IF(data[[#This Row],[ESF]]=2,1,0)*(0.7*data[[#This Row],[ESFe]]/SUMIFS(data[ESFe],data[Year],data[[#This Row],[Year]],data[ESF],2)+0.3*data[[#This Row],[GDP_3Years]]/SUMIFS(data[GDP_3Years],data[Year],data[[#This Row],[Year]],data[ESF],2))</f>
        <v>0.1466869984256059</v>
      </c>
      <c r="M12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0.1466869984256059</v>
      </c>
      <c r="N12" s="8" cm="1">
        <f t="array" ref="N12">data[[#This Row],[ESF%Budget]]*VLOOKUP(data[[#This Row],[Year]],costs[#All],COLUMN(costs[ESF_Budget]),FALSE)</f>
        <v>11734.959874048473</v>
      </c>
      <c r="O12" s="8" cm="1">
        <f t="array" ref="O12">data[[#This Row],[ESF%Actual]]*VLOOKUP(data[[#This Row],[Year]],costs[#All],COLUMN(costs[ESF_Cost_5.4b]),FALSE)</f>
        <v>5135.7100372573414</v>
      </c>
      <c r="P12" s="17" cm="1">
        <f t="array" ref="P12">VLOOKUP(data[[#This Row],[UID]],CoTwo[#All],COLUMN(CoTwo[CSF_SET_CO2_TONNES]),FALSE)</f>
        <v>15552330.564300001</v>
      </c>
      <c r="Q12" s="7">
        <f>IF(data[[#This Row],[CSF]]=2,1,0)*(0.7*data[[#This Row],[CSFe]]/SUMIFS(data[CSFe],data[Year],data[[#This Row],[Year]],data[CSF],2)+0.3*data[[#This Row],[GDP_3Years]]/SUMIFS(data[GDP_3Years],data[Year],data[[#This Row],[Year]],data[CSF],2))</f>
        <v>0.19659863863926691</v>
      </c>
      <c r="R12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0.19659863863926691</v>
      </c>
      <c r="S12" s="8" cm="1">
        <f t="array" ref="S12">data[[#This Row],[CSF%Budget]]*VLOOKUP(data[[#This Row],[Year]],costs[#All],COLUMN(costs[CSF_Budget]),FALSE)</f>
        <v>15727.891091141353</v>
      </c>
      <c r="T12" s="8" cm="1">
        <f t="array" ref="T12">data[[#This Row],[CSF%Actual]]*VLOOKUP(data[[#This Row],[Year]],costs[#All],COLUMN(costs[CSF_Cost_5.4b]),FALSE)</f>
        <v>19055.76906776521</v>
      </c>
      <c r="U12" s="8" cm="1">
        <f t="array" ref="U12">(data[[#This Row],[ESFBudget]]+data[[#This Row],[CSFBudget]])/(SUMIFS(data[ESFBudget],data[Year],data[[#This Row],[Year]])+SUMIFS(data[CSFBudget],data[Year],data[[#This Row],[Year]]))*VLOOKUP(data[[#This Row],[Year]],costs[#All],COLUMN(costs[HD_Budget]),FALSE)</f>
        <v>17164.281853243639</v>
      </c>
      <c r="V12" s="8" cm="1">
        <f t="array" ref="V12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25694.149811643922</v>
      </c>
      <c r="W12" s="8" cm="1">
        <f t="array" ref="W12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24029.994594541098</v>
      </c>
      <c r="X12" s="8" cm="1">
        <f t="array" ref="X12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232.99531371418288</v>
      </c>
    </row>
    <row r="13" spans="1:24" x14ac:dyDescent="0.25">
      <c r="A13" t="str">
        <f>data[[#This Row],[Year]] &amp;"-"&amp;data[[#This Row],[State]]</f>
        <v>2023-Greece</v>
      </c>
      <c r="B13" s="2" t="s">
        <v>19</v>
      </c>
      <c r="C13">
        <v>2023</v>
      </c>
      <c r="D13" s="3">
        <v>2</v>
      </c>
      <c r="E13" s="3">
        <v>2</v>
      </c>
      <c r="F13" s="16">
        <v>21000</v>
      </c>
      <c r="G13" s="8" t="str" cm="1">
        <f t="array" ref="G13">_xlfn.IFS(ISERROR(MATCH(data[[#This Row],[UID]],CoTwo[UID],0)), "Not in CO2", ISERROR(MATCH(data[[#This Row],[UID]],gdp[UID],0)), "Not in GDP", TRUE, "")</f>
        <v/>
      </c>
      <c r="H13" s="16">
        <f>data[[#This Row],[ESFBudget]]+data[[#This Row],[CSFBudget]]+data[[#This Row],[HDBudget]]+data[[#This Row],[RFDBudget]]</f>
        <v>15110.190716942434</v>
      </c>
      <c r="I13" s="8">
        <f>ROUND(data[[#This Row],[ESFActual]]+data[[#This Row],[CSFActual]]+data[[#This Row],[HDActual]]+data[[#This Row],[RFDActual]],2)</f>
        <v>8702.19</v>
      </c>
      <c r="J13" s="6">
        <f>VLOOKUP(data[[#This Row],[UID]],gdp[],MATCH("Year-5",gdp[#Headers],0),FALSE)+VLOOKUP(data[[#This Row],[UID]],gdp[],MATCH("Year-4",gdp[#Headers],0),FALSE)+VLOOKUP(data[[#This Row],[UID]],gdp[],MATCH("Year-3",gdp[#Headers],0),FALSE)</f>
        <v>605.99599999999998</v>
      </c>
      <c r="K13" s="17" cm="1">
        <f t="array" ref="K13">VLOOKUP(data[[#This Row],[UID]],CoTwo[#All],COLUMN(CoTwo[ESF_CO2_TONNES]),FALSE)</f>
        <v>2183181.7518000002</v>
      </c>
      <c r="L13" s="7">
        <f>IF(data[[#This Row],[ESF]]=2,1,0)*(0.7*data[[#This Row],[ESFe]]/SUMIFS(data[ESFe],data[Year],data[[#This Row],[Year]],data[ESF],2)+0.3*data[[#This Row],[GDP_3Years]]/SUMIFS(data[GDP_3Years],data[Year],data[[#This Row],[Year]],data[ESF],2))</f>
        <v>5.0431880314726688E-2</v>
      </c>
      <c r="M13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5.0431880314726688E-2</v>
      </c>
      <c r="N13" s="8" cm="1">
        <f t="array" ref="N13">data[[#This Row],[ESF%Budget]]*VLOOKUP(data[[#This Row],[Year]],costs[#All],COLUMN(costs[ESF_Budget]),FALSE)</f>
        <v>4034.5504251781349</v>
      </c>
      <c r="O13" s="8" cm="1">
        <f t="array" ref="O13">data[[#This Row],[ESF%Actual]]*VLOOKUP(data[[#This Row],[Year]],costs[#All],COLUMN(costs[ESF_Cost_5.4b]),FALSE)</f>
        <v>1765.6882798747811</v>
      </c>
      <c r="P13" s="17" cm="1">
        <f t="array" ref="P13">VLOOKUP(data[[#This Row],[UID]],CoTwo[#All],COLUMN(CoTwo[CSF_SET_CO2_TONNES]),FALSE)</f>
        <v>2532141.3162500001</v>
      </c>
      <c r="Q13" s="7">
        <f>IF(data[[#This Row],[CSF]]=2,1,0)*(0.7*data[[#This Row],[CSFe]]/SUMIFS(data[CSFe],data[Year],data[[#This Row],[Year]],data[CSF],2)+0.3*data[[#This Row],[GDP_3Years]]/SUMIFS(data[GDP_3Years],data[Year],data[[#This Row],[Year]],data[CSF],2))</f>
        <v>2.5119073269985498E-2</v>
      </c>
      <c r="R13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2.5119073269985498E-2</v>
      </c>
      <c r="S13" s="8" cm="1">
        <f t="array" ref="S13">data[[#This Row],[CSF%Budget]]*VLOOKUP(data[[#This Row],[Year]],costs[#All],COLUMN(costs[CSF_Budget]),FALSE)</f>
        <v>2009.5258615988398</v>
      </c>
      <c r="T13" s="8" cm="1">
        <f t="array" ref="T13">data[[#This Row],[CSF%Actual]]*VLOOKUP(data[[#This Row],[Year]],costs[#All],COLUMN(costs[CSF_Cost_5.4b]),FALSE)</f>
        <v>2434.7231636095039</v>
      </c>
      <c r="U13" s="8" cm="1">
        <f t="array" ref="U13">(data[[#This Row],[ESFBudget]]+data[[#This Row],[CSFBudget]])/(SUMIFS(data[ESFBudget],data[Year],data[[#This Row],[Year]])+SUMIFS(data[CSFBudget],data[Year],data[[#This Row],[Year]]))*VLOOKUP(data[[#This Row],[Year]],costs[#All],COLUMN(costs[HD_Budget]),FALSE)</f>
        <v>3777.5476792356085</v>
      </c>
      <c r="V13" s="8" cm="1">
        <f t="array" ref="V13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4461.3229489147479</v>
      </c>
      <c r="W13" s="8" cm="1">
        <f t="array" ref="W13">(data[[#This Row],[ESFBudget]]+data[[#This Row],[CSFBudget]])/(SUMIFS(data[ESFBudget],data[Year],data[[#This Row],[Year]])+SUMIFS(data[CSFBudget],data[Year],data[[#This Row],[Year]]))*VLOOKUP(data[[#This Row],[Year]],costs[#All],COLUMN(costs[RFD_Budget]),FALSE)</f>
        <v>5288.5667509298519</v>
      </c>
      <c r="X13" s="8" cm="1">
        <f t="array" ref="X13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40.455409020446183</v>
      </c>
    </row>
    <row r="14" spans="1:24" x14ac:dyDescent="0.25">
      <c r="A14" t="str">
        <f>data[[#This Row],[Year]] &amp;"-"&amp;data[[#This Row],[State]]</f>
        <v>2023-Iceland</v>
      </c>
      <c r="B14" s="2" t="s">
        <v>20</v>
      </c>
      <c r="C14">
        <v>2023</v>
      </c>
      <c r="D14" s="3">
        <v>2</v>
      </c>
      <c r="E14" s="3">
        <v>2</v>
      </c>
      <c r="F14" s="16">
        <v>3000</v>
      </c>
      <c r="G14" s="8" t="str" cm="1">
        <f t="array" ref="G14">_xlfn.IFS(ISERROR(MATCH(data[[#This Row],[UID]],CoTwo[UID],0)), "Not in CO2", ISERROR(MATCH(data[[#This Row],[UID]],gdp[UID],0)), "Not in GDP", TRUE, "")</f>
        <v/>
      </c>
      <c r="H14" s="8">
        <f>data[[#This Row],[ESFBudget]]+data[[#This Row],[CSFBudget]]+data[[#This Row],[HDBudget]]+data[[#This Row],[RFDBudget]]</f>
        <v>1856.1583928117816</v>
      </c>
      <c r="I14" s="8">
        <f>ROUND(data[[#This Row],[ESFActual]]+data[[#This Row],[CSFActual]]+data[[#This Row],[HDActual]]+data[[#This Row],[RFDActual]],2)</f>
        <v>1233.1099999999999</v>
      </c>
      <c r="J14" s="6">
        <f>VLOOKUP(data[[#This Row],[UID]],gdp[],MATCH("Year-5",gdp[#Headers],0),FALSE)+VLOOKUP(data[[#This Row],[UID]],gdp[],MATCH("Year-4",gdp[#Headers],0),FALSE)+VLOOKUP(data[[#This Row],[UID]],gdp[],MATCH("Year-3",gdp[#Headers],0),FALSE)</f>
        <v>72.709000000000003</v>
      </c>
      <c r="K14" s="17" cm="1">
        <f t="array" ref="K14">VLOOKUP(data[[#This Row],[UID]],CoTwo[#All],COLUMN(CoTwo[ESF_CO2_TONNES]),FALSE)</f>
        <v>209457.37880000001</v>
      </c>
      <c r="L14" s="7">
        <f>IF(data[[#This Row],[ESF]]=2,1,0)*(0.7*data[[#This Row],[ESFe]]/SUMIFS(data[ESFe],data[Year],data[[#This Row],[Year]],data[ESF],2)+0.3*data[[#This Row],[GDP_3Years]]/SUMIFS(data[GDP_3Years],data[Year],data[[#This Row],[Year]],data[ESF],2))</f>
        <v>4.9156726876954607E-3</v>
      </c>
      <c r="M14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4.9156726876954607E-3</v>
      </c>
      <c r="N14" s="8" cm="1">
        <f t="array" ref="N14">data[[#This Row],[ESF%Budget]]*VLOOKUP(data[[#This Row],[Year]],costs[#All],COLUMN(costs[ESF_Budget]),FALSE)</f>
        <v>393.25381501563686</v>
      </c>
      <c r="O14" s="8" cm="1">
        <f t="array" ref="O14">data[[#This Row],[ESF%Actual]]*VLOOKUP(data[[#This Row],[Year]],costs[#All],COLUMN(costs[ESF_Cost_5.4b]),FALSE)</f>
        <v>172.10434348667172</v>
      </c>
      <c r="P14" s="17" cm="1">
        <f t="array" ref="P14">VLOOKUP(data[[#This Row],[UID]],CoTwo[#All],COLUMN(CoTwo[CSF_SET_CO2_TONNES]),FALSE)</f>
        <v>459985.05609999999</v>
      </c>
      <c r="Q14" s="7">
        <f>IF(data[[#This Row],[CSF]]=2,1,0)*(0.7*data[[#This Row],[CSFe]]/SUMIFS(data[CSFe],data[Year],data[[#This Row],[Year]],data[CSF],2)+0.3*data[[#This Row],[GDP_3Years]]/SUMIFS(data[GDP_3Years],data[Year],data[[#This Row],[Year]],data[CSF],2))</f>
        <v>4.3651192763634475E-3</v>
      </c>
      <c r="R14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4.3651192763634475E-3</v>
      </c>
      <c r="S14" s="8" cm="1">
        <f t="array" ref="S14">data[[#This Row],[CSF%Budget]]*VLOOKUP(data[[#This Row],[Year]],costs[#All],COLUMN(costs[CSF_Budget]),FALSE)</f>
        <v>349.20954210907581</v>
      </c>
      <c r="T14" s="8" cm="1">
        <f t="array" ref="T14">data[[#This Row],[CSF%Actual]]*VLOOKUP(data[[#This Row],[Year]],costs[#All],COLUMN(costs[CSF_Cost_5.4b]),FALSE)</f>
        <v>423.09908888157707</v>
      </c>
      <c r="U14" s="8" cm="1">
        <f t="array" ref="U14">(data[[#This Row],[ESFBudget]]+data[[#This Row],[CSFBudget]])/(SUMIFS(data[ESFBudget],data[Year],data[[#This Row],[Year]])+SUMIFS(data[CSFBudget],data[Year],data[[#This Row],[Year]]))*VLOOKUP(data[[#This Row],[Year]],costs[#All],COLUMN(costs[HD_Budget]),FALSE)</f>
        <v>464.03959820294534</v>
      </c>
      <c r="V14" s="8" cm="1">
        <f t="array" ref="V14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632.17491139263677</v>
      </c>
      <c r="W14" s="8" cm="1">
        <f t="array" ref="W14">(data[[#This Row],[ESFBudget]]+data[[#This Row],[CSFBudget]])/(SUMIFS(data[ESFBudget],data[Year],data[[#This Row],[Year]])+SUMIFS(data[CSFBudget],data[Year],data[[#This Row],[Year]]))*VLOOKUP(data[[#This Row],[Year]],costs[#All],COLUMN(costs[RFD_Budget]),FALSE)</f>
        <v>649.65543748412347</v>
      </c>
      <c r="X14" s="8" cm="1">
        <f t="array" ref="X14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5.7325808747099876</v>
      </c>
    </row>
    <row r="15" spans="1:24" x14ac:dyDescent="0.25">
      <c r="A15" t="str">
        <f>data[[#This Row],[Year]] &amp;"-"&amp;data[[#This Row],[State]]</f>
        <v>2023-Ireland</v>
      </c>
      <c r="B15" s="2" t="s">
        <v>21</v>
      </c>
      <c r="C15">
        <v>2023</v>
      </c>
      <c r="D15" s="3">
        <v>2</v>
      </c>
      <c r="E15" s="3">
        <v>2</v>
      </c>
      <c r="F15" s="16">
        <v>10000</v>
      </c>
      <c r="G15" s="8" t="str" cm="1">
        <f t="array" ref="G15">_xlfn.IFS(ISERROR(MATCH(data[[#This Row],[UID]],CoTwo[UID],0)), "Not in CO2", ISERROR(MATCH(data[[#This Row],[UID]],gdp[UID],0)), "Not in GDP", TRUE, "")</f>
        <v/>
      </c>
      <c r="H15" s="8">
        <f>data[[#This Row],[ESFBudget]]+data[[#This Row],[CSFBudget]]+data[[#This Row],[HDBudget]]+data[[#This Row],[RFDBudget]]</f>
        <v>7140.0712652348093</v>
      </c>
      <c r="I15" s="8">
        <f>ROUND(data[[#This Row],[ESFActual]]+data[[#This Row],[CSFActual]]+data[[#This Row],[HDActual]]+data[[#This Row],[RFDActual]],2)</f>
        <v>4768.32</v>
      </c>
      <c r="J15" s="6">
        <f>VLOOKUP(data[[#This Row],[UID]],gdp[],MATCH("Year-5",gdp[#Headers],0),FALSE)+VLOOKUP(data[[#This Row],[UID]],gdp[],MATCH("Year-4",gdp[#Headers],0),FALSE)+VLOOKUP(data[[#This Row],[UID]],gdp[],MATCH("Year-3",gdp[#Headers],0),FALSE)</f>
        <v>1209.9290000000001</v>
      </c>
      <c r="K15" s="17" cm="1">
        <f t="array" ref="K15">VLOOKUP(data[[#This Row],[UID]],CoTwo[#All],COLUMN(CoTwo[ESF_CO2_TONNES]),FALSE)</f>
        <v>568931.02560000005</v>
      </c>
      <c r="L15" s="7">
        <f>IF(data[[#This Row],[ESF]]=2,1,0)*(0.7*data[[#This Row],[ESFe]]/SUMIFS(data[ESFe],data[Year],data[[#This Row],[Year]],data[ESF],2)+0.3*data[[#This Row],[GDP_3Years]]/SUMIFS(data[GDP_3Years],data[Year],data[[#This Row],[Year]],data[ESF],2))</f>
        <v>1.8714818634174568E-2</v>
      </c>
      <c r="M15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1.8714818634174568E-2</v>
      </c>
      <c r="N15" s="8" cm="1">
        <f t="array" ref="N15">data[[#This Row],[ESF%Budget]]*VLOOKUP(data[[#This Row],[Year]],costs[#All],COLUMN(costs[ESF_Budget]),FALSE)</f>
        <v>1497.1854907339655</v>
      </c>
      <c r="O15" s="8" cm="1">
        <f t="array" ref="O15">data[[#This Row],[ESF%Actual]]*VLOOKUP(data[[#This Row],[Year]],costs[#All],COLUMN(costs[ESF_Cost_5.4b]),FALSE)</f>
        <v>655.23109025730321</v>
      </c>
      <c r="P15" s="17" cm="1">
        <f t="array" ref="P15">VLOOKUP(data[[#This Row],[UID]],CoTwo[#All],COLUMN(CoTwo[CSF_SET_CO2_TONNES]),FALSE)</f>
        <v>1222389.4747500001</v>
      </c>
      <c r="Q15" s="7">
        <f>IF(data[[#This Row],[CSF]]=2,1,0)*(0.7*data[[#This Row],[CSFe]]/SUMIFS(data[CSFe],data[Year],data[[#This Row],[Year]],data[CSF],2)+0.3*data[[#This Row],[GDP_3Years]]/SUMIFS(data[GDP_3Years],data[Year],data[[#This Row],[Year]],data[CSF],2))</f>
        <v>1.6985537691999484E-2</v>
      </c>
      <c r="R15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1.6985537691999484E-2</v>
      </c>
      <c r="S15" s="8" cm="1">
        <f t="array" ref="S15">data[[#This Row],[CSF%Budget]]*VLOOKUP(data[[#This Row],[Year]],costs[#All],COLUMN(costs[CSF_Budget]),FALSE)</f>
        <v>1358.8430153599588</v>
      </c>
      <c r="T15" s="8" cm="1">
        <f t="array" ref="T15">data[[#This Row],[CSF%Actual]]*VLOOKUP(data[[#This Row],[Year]],costs[#All],COLUMN(costs[CSF_Cost_5.4b]),FALSE)</f>
        <v>1646.3617753959172</v>
      </c>
      <c r="U15" s="8" cm="1">
        <f t="array" ref="U15">(data[[#This Row],[ESFBudget]]+data[[#This Row],[CSFBudget]])/(SUMIFS(data[ESFBudget],data[Year],data[[#This Row],[Year]])+SUMIFS(data[CSFBudget],data[Year],data[[#This Row],[Year]]))*VLOOKUP(data[[#This Row],[Year]],costs[#All],COLUMN(costs[HD_Budget]),FALSE)</f>
        <v>1785.0178163087021</v>
      </c>
      <c r="V15" s="8" cm="1">
        <f t="array" ref="V15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2444.5579221828884</v>
      </c>
      <c r="W15" s="8" cm="1">
        <f t="array" ref="W15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2499.0249428321831</v>
      </c>
      <c r="X15" s="8" cm="1">
        <f t="array" ref="X15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22.167323851804529</v>
      </c>
    </row>
    <row r="16" spans="1:24" x14ac:dyDescent="0.25">
      <c r="A16" t="str">
        <f>data[[#This Row],[Year]] &amp;"-"&amp;data[[#This Row],[State]]</f>
        <v>2023-Italy</v>
      </c>
      <c r="B16" s="2" t="s">
        <v>22</v>
      </c>
      <c r="C16">
        <v>2023</v>
      </c>
      <c r="D16" s="3">
        <v>2</v>
      </c>
      <c r="E16" s="3">
        <v>2</v>
      </c>
      <c r="F16" s="16">
        <v>52000</v>
      </c>
      <c r="G16" s="8" t="str" cm="1">
        <f t="array" ref="G16">_xlfn.IFS(ISERROR(MATCH(data[[#This Row],[UID]],CoTwo[UID],0)), "Not in CO2", ISERROR(MATCH(data[[#This Row],[UID]],gdp[UID],0)), "Not in GDP", TRUE, "")</f>
        <v/>
      </c>
      <c r="H16" s="8">
        <f>data[[#This Row],[ESFBudget]]+data[[#This Row],[CSFBudget]]+data[[#This Row],[HDBudget]]+data[[#This Row],[RFDBudget]]</f>
        <v>37650.466338238533</v>
      </c>
      <c r="I16" s="8">
        <f>ROUND(data[[#This Row],[ESFActual]]+data[[#This Row],[CSFActual]]+data[[#This Row],[HDActual]]+data[[#This Row],[RFDActual]],2)</f>
        <v>23137.040000000001</v>
      </c>
      <c r="J16" s="6">
        <f>VLOOKUP(data[[#This Row],[UID]],gdp[],MATCH("Year-5",gdp[#Headers],0),FALSE)+VLOOKUP(data[[#This Row],[UID]],gdp[],MATCH("Year-4",gdp[#Headers],0),FALSE)+VLOOKUP(data[[#This Row],[UID]],gdp[],MATCH("Year-3",gdp[#Headers],0),FALSE)</f>
        <v>5995.4470000000001</v>
      </c>
      <c r="K16" s="17" cm="1">
        <f t="array" ref="K16">VLOOKUP(data[[#This Row],[UID]],CoTwo[#All],COLUMN(CoTwo[ESF_CO2_TONNES]),FALSE)</f>
        <v>3817558.8108000001</v>
      </c>
      <c r="L16" s="7">
        <f>IF(data[[#This Row],[ESF]]=2,1,0)*(0.7*data[[#This Row],[ESFe]]/SUMIFS(data[ESFe],data[Year],data[[#This Row],[Year]],data[ESF],2)+0.3*data[[#This Row],[GDP_3Years]]/SUMIFS(data[GDP_3Years],data[Year],data[[#This Row],[Year]],data[ESF],2))</f>
        <v>0.11433080156548237</v>
      </c>
      <c r="M16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0.11433080156548237</v>
      </c>
      <c r="N16" s="8" cm="1">
        <f t="array" ref="N16">data[[#This Row],[ESF%Budget]]*VLOOKUP(data[[#This Row],[Year]],costs[#All],COLUMN(costs[ESF_Budget]),FALSE)</f>
        <v>9146.46412523859</v>
      </c>
      <c r="O16" s="8" cm="1">
        <f t="array" ref="O16">data[[#This Row],[ESF%Actual]]*VLOOKUP(data[[#This Row],[Year]],costs[#All],COLUMN(costs[ESF_Cost_5.4b]),FALSE)</f>
        <v>4002.875861321244</v>
      </c>
      <c r="P16" s="17" cm="1">
        <f t="array" ref="P16">VLOOKUP(data[[#This Row],[UID]],CoTwo[#All],COLUMN(CoTwo[CSF_SET_CO2_TONNES]),FALSE)</f>
        <v>4873094.8019000003</v>
      </c>
      <c r="Q16" s="7">
        <f>IF(data[[#This Row],[CSF]]=2,1,0)*(0.7*data[[#This Row],[CSFe]]/SUMIFS(data[CSFe],data[Year],data[[#This Row],[Year]],data[CSF],2)+0.3*data[[#This Row],[GDP_3Years]]/SUMIFS(data[GDP_3Years],data[Year],data[[#This Row],[Year]],data[CSF],2))</f>
        <v>7.3921530125710261E-2</v>
      </c>
      <c r="R16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7.3921530125710261E-2</v>
      </c>
      <c r="S16" s="8" cm="1">
        <f t="array" ref="S16">data[[#This Row],[CSF%Budget]]*VLOOKUP(data[[#This Row],[Year]],costs[#All],COLUMN(costs[CSF_Budget]),FALSE)</f>
        <v>5913.722410056821</v>
      </c>
      <c r="T16" s="8" cm="1">
        <f t="array" ref="T16">data[[#This Row],[CSF%Actual]]*VLOOKUP(data[[#This Row],[Year]],costs[#All],COLUMN(costs[CSF_Cost_5.4b]),FALSE)</f>
        <v>7165.0120110752177</v>
      </c>
      <c r="U16" s="8" cm="1">
        <f t="array" ref="U16">(data[[#This Row],[ESFBudget]]+data[[#This Row],[CSFBudget]])/(SUMIFS(data[ESFBudget],data[Year],data[[#This Row],[Year]])+SUMIFS(data[CSFBudget],data[Year],data[[#This Row],[Year]]))*VLOOKUP(data[[#This Row],[Year]],costs[#All],COLUMN(costs[HD_Budget]),FALSE)</f>
        <v>9412.6165845596315</v>
      </c>
      <c r="V16" s="8" cm="1">
        <f t="array" ref="V16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11861.589067260487</v>
      </c>
      <c r="W16" s="8" cm="1">
        <f t="array" ref="W16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13177.663218383484</v>
      </c>
      <c r="X16" s="8" cm="1">
        <f t="array" ref="X16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107.56124200002309</v>
      </c>
    </row>
    <row r="17" spans="1:24" x14ac:dyDescent="0.25">
      <c r="A17" t="str">
        <f>data[[#This Row],[Year]] &amp;"-"&amp;data[[#This Row],[State]]</f>
        <v>2023-Lithuania</v>
      </c>
      <c r="B17" s="2" t="s">
        <v>23</v>
      </c>
      <c r="C17">
        <v>2023</v>
      </c>
      <c r="D17" s="3">
        <v>2</v>
      </c>
      <c r="E17" s="3">
        <v>2</v>
      </c>
      <c r="F17" s="16">
        <v>2000</v>
      </c>
      <c r="G17" s="8" t="str" cm="1">
        <f t="array" ref="G17">_xlfn.IFS(ISERROR(MATCH(data[[#This Row],[UID]],CoTwo[UID],0)), "Not in CO2", ISERROR(MATCH(data[[#This Row],[UID]],gdp[UID],0)), "Not in GDP", TRUE, "")</f>
        <v/>
      </c>
      <c r="H17" s="8">
        <f>data[[#This Row],[ESFBudget]]+data[[#This Row],[CSFBudget]]+data[[#This Row],[HDBudget]]+data[[#This Row],[RFDBudget]]</f>
        <v>1394.2108212895846</v>
      </c>
      <c r="I17" s="8">
        <f>ROUND(data[[#This Row],[ESFActual]]+data[[#This Row],[CSFActual]]+data[[#This Row],[HDActual]]+data[[#This Row],[RFDActual]],2)</f>
        <v>856.39</v>
      </c>
      <c r="J17" s="6">
        <f>VLOOKUP(data[[#This Row],[UID]],gdp[],MATCH("Year-5",gdp[#Headers],0),FALSE)+VLOOKUP(data[[#This Row],[UID]],gdp[],MATCH("Year-4",gdp[#Headers],0),FALSE)+VLOOKUP(data[[#This Row],[UID]],gdp[],MATCH("Year-3",gdp[#Headers],0),FALSE)</f>
        <v>164.98000000000002</v>
      </c>
      <c r="K17" s="17" cm="1">
        <f t="array" ref="K17">VLOOKUP(data[[#This Row],[UID]],CoTwo[#All],COLUMN(CoTwo[ESF_CO2_TONNES]),FALSE)</f>
        <v>155469.64230000001</v>
      </c>
      <c r="L17" s="7">
        <f>IF(data[[#This Row],[ESF]]=2,1,0)*(0.7*data[[#This Row],[ESFe]]/SUMIFS(data[ESFe],data[Year],data[[#This Row],[Year]],data[ESF],2)+0.3*data[[#This Row],[GDP_3Years]]/SUMIFS(data[GDP_3Years],data[Year],data[[#This Row],[Year]],data[ESF],2))</f>
        <v>4.2366772793730181E-3</v>
      </c>
      <c r="M17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4.2366772793730181E-3</v>
      </c>
      <c r="N17" s="8" cm="1">
        <f t="array" ref="N17">data[[#This Row],[ESF%Budget]]*VLOOKUP(data[[#This Row],[Year]],costs[#All],COLUMN(costs[ESF_Budget]),FALSE)</f>
        <v>338.93418234984142</v>
      </c>
      <c r="O17" s="8" cm="1">
        <f t="array" ref="O17">data[[#This Row],[ESF%Actual]]*VLOOKUP(data[[#This Row],[Year]],costs[#All],COLUMN(costs[ESF_Cost_5.4b]),FALSE)</f>
        <v>148.33179669520027</v>
      </c>
      <c r="P17" s="17" cm="1">
        <f t="array" ref="P17">VLOOKUP(data[[#This Row],[UID]],CoTwo[#All],COLUMN(CoTwo[CSF_SET_CO2_TONNES]),FALSE)</f>
        <v>215025.27984999999</v>
      </c>
      <c r="Q17" s="7">
        <f>IF(data[[#This Row],[CSF]]=2,1,0)*(0.7*data[[#This Row],[CSFe]]/SUMIFS(data[CSFe],data[Year],data[[#This Row],[Year]],data[CSF],2)+0.3*data[[#This Row],[GDP_3Years]]/SUMIFS(data[GDP_3Years],data[Year],data[[#This Row],[Year]],data[CSF],2))</f>
        <v>2.7343768270749057E-3</v>
      </c>
      <c r="R17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2.7343768270749057E-3</v>
      </c>
      <c r="S17" s="8" cm="1">
        <f t="array" ref="S17">data[[#This Row],[CSF%Budget]]*VLOOKUP(data[[#This Row],[Year]],costs[#All],COLUMN(costs[CSF_Budget]),FALSE)</f>
        <v>218.75014616599245</v>
      </c>
      <c r="T17" s="8" cm="1">
        <f t="array" ref="T17">data[[#This Row],[CSF%Actual]]*VLOOKUP(data[[#This Row],[Year]],costs[#All],COLUMN(costs[CSF_Cost_5.4b]),FALSE)</f>
        <v>265.03567736598171</v>
      </c>
      <c r="U17" s="8" cm="1">
        <f t="array" ref="U17">(data[[#This Row],[ESFBudget]]+data[[#This Row],[CSFBudget]])/(SUMIFS(data[ESFBudget],data[Year],data[[#This Row],[Year]])+SUMIFS(data[CSFBudget],data[Year],data[[#This Row],[Year]]))*VLOOKUP(data[[#This Row],[Year]],costs[#All],COLUMN(costs[HD_Budget]),FALSE)</f>
        <v>348.55270532239609</v>
      </c>
      <c r="V17" s="8" cm="1">
        <f t="array" ref="V17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439.04408488953129</v>
      </c>
      <c r="W17" s="8" cm="1">
        <f t="array" ref="W17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487.9737874513545</v>
      </c>
      <c r="X17" s="8" cm="1">
        <f t="array" ref="X17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3.9812648031979303</v>
      </c>
    </row>
    <row r="18" spans="1:24" x14ac:dyDescent="0.25">
      <c r="A18" t="str">
        <f>data[[#This Row],[Year]] &amp;"-"&amp;data[[#This Row],[State]]</f>
        <v>2023-Luxembourg</v>
      </c>
      <c r="B18" s="2" t="s">
        <v>24</v>
      </c>
      <c r="C18">
        <v>2023</v>
      </c>
      <c r="D18" s="3">
        <v>2</v>
      </c>
      <c r="E18" s="3">
        <v>2</v>
      </c>
      <c r="F18" s="16">
        <v>6000</v>
      </c>
      <c r="G18" s="8" t="str" cm="1">
        <f t="array" ref="G18">_xlfn.IFS(ISERROR(MATCH(data[[#This Row],[UID]],CoTwo[UID],0)), "Not in CO2", ISERROR(MATCH(data[[#This Row],[UID]],gdp[UID],0)), "Not in GDP", TRUE, "")</f>
        <v/>
      </c>
      <c r="H18" s="8">
        <f>data[[#This Row],[ESFBudget]]+data[[#This Row],[CSFBudget]]+data[[#This Row],[HDBudget]]+data[[#This Row],[RFDBudget]]</f>
        <v>4155.7224498904807</v>
      </c>
      <c r="I18" s="8">
        <f>ROUND(data[[#This Row],[ESFActual]]+data[[#This Row],[CSFActual]]+data[[#This Row],[HDActual]]+data[[#This Row],[RFDActual]],2)</f>
        <v>3663.61</v>
      </c>
      <c r="J18" s="6">
        <f>VLOOKUP(data[[#This Row],[UID]],gdp[],MATCH("Year-5",gdp[#Headers],0),FALSE)+VLOOKUP(data[[#This Row],[UID]],gdp[],MATCH("Year-4",gdp[#Headers],0),FALSE)+VLOOKUP(data[[#This Row],[UID]],gdp[],MATCH("Year-3",gdp[#Headers],0),FALSE)</f>
        <v>214.81399999999996</v>
      </c>
      <c r="K18" s="17" cm="1">
        <f t="array" ref="K18">VLOOKUP(data[[#This Row],[UID]],CoTwo[#All],COLUMN(CoTwo[ESF_CO2_TONNES]),FALSE)</f>
        <v>130817.90609999999</v>
      </c>
      <c r="L18" s="7">
        <f>IF(data[[#This Row],[ESF]]=2,1,0)*(0.7*data[[#This Row],[ESFe]]/SUMIFS(data[ESFe],data[Year],data[[#This Row],[Year]],data[ESF],2)+0.3*data[[#This Row],[GDP_3Years]]/SUMIFS(data[GDP_3Years],data[Year],data[[#This Row],[Year]],data[ESF],2))</f>
        <v>3.9674303056855872E-3</v>
      </c>
      <c r="M18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3.9674303056855872E-3</v>
      </c>
      <c r="N18" s="8" cm="1">
        <f t="array" ref="N18">data[[#This Row],[ESF%Budget]]*VLOOKUP(data[[#This Row],[Year]],costs[#All],COLUMN(costs[ESF_Budget]),FALSE)</f>
        <v>317.39442445484696</v>
      </c>
      <c r="O18" s="8" cm="1">
        <f t="array" ref="O18">data[[#This Row],[ESF%Actual]]*VLOOKUP(data[[#This Row],[Year]],costs[#All],COLUMN(costs[ESF_Cost_5.4b]),FALSE)</f>
        <v>138.90509630519267</v>
      </c>
      <c r="P18" s="17" cm="1">
        <f t="array" ref="P18">VLOOKUP(data[[#This Row],[UID]],CoTwo[#All],COLUMN(CoTwo[CSF_SET_CO2_TONNES]),FALSE)</f>
        <v>1811438.1444000001</v>
      </c>
      <c r="Q18" s="7">
        <f>IF(data[[#This Row],[CSF]]=2,1,0)*(0.7*data[[#This Row],[CSFe]]/SUMIFS(data[CSFe],data[Year],data[[#This Row],[Year]],data[CSF],2)+0.3*data[[#This Row],[GDP_3Years]]/SUMIFS(data[GDP_3Years],data[Year],data[[#This Row],[Year]],data[CSF],2))</f>
        <v>1.6811181943766816E-2</v>
      </c>
      <c r="R18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1.6811181943766816E-2</v>
      </c>
      <c r="S18" s="8" cm="1">
        <f t="array" ref="S18">data[[#This Row],[CSF%Budget]]*VLOOKUP(data[[#This Row],[Year]],costs[#All],COLUMN(costs[CSF_Budget]),FALSE)</f>
        <v>1344.8945555013454</v>
      </c>
      <c r="T18" s="8" cm="1">
        <f t="array" ref="T18">data[[#This Row],[CSF%Actual]]*VLOOKUP(data[[#This Row],[Year]],costs[#All],COLUMN(costs[CSF_Cost_5.4b]),FALSE)</f>
        <v>1629.461948942615</v>
      </c>
      <c r="U18" s="8" cm="1">
        <f t="array" ref="U18">(data[[#This Row],[ESFBudget]]+data[[#This Row],[CSFBudget]])/(SUMIFS(data[ESFBudget],data[Year],data[[#This Row],[Year]])+SUMIFS(data[CSFBudget],data[Year],data[[#This Row],[Year]]))*VLOOKUP(data[[#This Row],[Year]],costs[#All],COLUMN(costs[HD_Budget]),FALSE)</f>
        <v>1038.9306124726202</v>
      </c>
      <c r="V18" s="8" cm="1">
        <f t="array" ref="V18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1878.2104056274043</v>
      </c>
      <c r="W18" s="8" cm="1">
        <f t="array" ref="W18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1454.5028574616681</v>
      </c>
      <c r="X18" s="8" cm="1">
        <f t="array" ref="X18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17.031667748822898</v>
      </c>
    </row>
    <row r="19" spans="1:24" x14ac:dyDescent="0.25">
      <c r="A19" t="str">
        <f>data[[#This Row],[Year]] &amp;"-"&amp;data[[#This Row],[State]]</f>
        <v>2023-Malta</v>
      </c>
      <c r="B19" s="2" t="s">
        <v>25</v>
      </c>
      <c r="C19">
        <v>2023</v>
      </c>
      <c r="D19" s="3">
        <v>2</v>
      </c>
      <c r="E19" s="3">
        <v>2</v>
      </c>
      <c r="F19" s="16">
        <v>2000</v>
      </c>
      <c r="G19" s="8" t="str" cm="1">
        <f t="array" ref="G19">_xlfn.IFS(ISERROR(MATCH(data[[#This Row],[UID]],CoTwo[UID],0)), "Not in CO2", ISERROR(MATCH(data[[#This Row],[UID]],gdp[UID],0)), "Not in GDP", TRUE, "")</f>
        <v/>
      </c>
      <c r="H19" s="8">
        <f>data[[#This Row],[ESFBudget]]+data[[#This Row],[CSFBudget]]+data[[#This Row],[HDBudget]]+data[[#This Row],[RFDBudget]]</f>
        <v>1414.8105831265809</v>
      </c>
      <c r="I19" s="8">
        <f>ROUND(data[[#This Row],[ESFActual]]+data[[#This Row],[CSFActual]]+data[[#This Row],[HDActual]]+data[[#This Row],[RFDActual]],2)</f>
        <v>816.85</v>
      </c>
      <c r="J19" s="6">
        <f>VLOOKUP(data[[#This Row],[UID]],gdp[],MATCH("Year-5",gdp[#Headers],0),FALSE)+VLOOKUP(data[[#This Row],[UID]],gdp[],MATCH("Year-4",gdp[#Headers],0),FALSE)+VLOOKUP(data[[#This Row],[UID]],gdp[],MATCH("Year-3",gdp[#Headers],0),FALSE)</f>
        <v>45.936</v>
      </c>
      <c r="K19" s="17" cm="1">
        <f t="array" ref="K19">VLOOKUP(data[[#This Row],[UID]],CoTwo[#All],COLUMN(CoTwo[ESF_CO2_TONNES]),FALSE)</f>
        <v>206328.51855000001</v>
      </c>
      <c r="L19" s="7">
        <f>IF(data[[#This Row],[ESF]]=2,1,0)*(0.7*data[[#This Row],[ESFe]]/SUMIFS(data[ESFe],data[Year],data[[#This Row],[Year]],data[ESF],2)+0.3*data[[#This Row],[GDP_3Years]]/SUMIFS(data[GDP_3Years],data[Year],data[[#This Row],[Year]],data[ESF],2))</f>
        <v>4.7061811318289681E-3</v>
      </c>
      <c r="M19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4.7061811318289681E-3</v>
      </c>
      <c r="N19" s="8" cm="1">
        <f t="array" ref="N19">data[[#This Row],[ESF%Budget]]*VLOOKUP(data[[#This Row],[Year]],costs[#All],COLUMN(costs[ESF_Budget]),FALSE)</f>
        <v>376.49449054631748</v>
      </c>
      <c r="O19" s="8" cm="1">
        <f t="array" ref="O19">data[[#This Row],[ESF%Actual]]*VLOOKUP(data[[#This Row],[Year]],costs[#All],COLUMN(costs[ESF_Cost_5.4b]),FALSE)</f>
        <v>164.76976102379686</v>
      </c>
      <c r="P19" s="17" cm="1">
        <f t="array" ref="P19">VLOOKUP(data[[#This Row],[UID]],CoTwo[#All],COLUMN(CoTwo[CSF_SET_CO2_TONNES]),FALSE)</f>
        <v>245544.19889999999</v>
      </c>
      <c r="Q19" s="7">
        <f>IF(data[[#This Row],[CSF]]=2,1,0)*(0.7*data[[#This Row],[CSFe]]/SUMIFS(data[CSFe],data[Year],data[[#This Row],[Year]],data[CSF],2)+0.3*data[[#This Row],[GDP_3Years]]/SUMIFS(data[GDP_3Years],data[Year],data[[#This Row],[Year]],data[CSF],2))</f>
        <v>2.3678717838039377E-3</v>
      </c>
      <c r="R19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2.3678717838039377E-3</v>
      </c>
      <c r="S19" s="8" cm="1">
        <f t="array" ref="S19">data[[#This Row],[CSF%Budget]]*VLOOKUP(data[[#This Row],[Year]],costs[#All],COLUMN(costs[CSF_Budget]),FALSE)</f>
        <v>189.429742704315</v>
      </c>
      <c r="T19" s="8" cm="1">
        <f t="array" ref="T19">data[[#This Row],[CSF%Actual]]*VLOOKUP(data[[#This Row],[Year]],costs[#All],COLUMN(costs[CSF_Cost_5.4b]),FALSE)</f>
        <v>229.5113445675351</v>
      </c>
      <c r="U19" s="8" cm="1">
        <f t="array" ref="U19">(data[[#This Row],[ESFBudget]]+data[[#This Row],[CSFBudget]])/(SUMIFS(data[ESFBudget],data[Year],data[[#This Row],[Year]])+SUMIFS(data[CSFBudget],data[Year],data[[#This Row],[Year]]))*VLOOKUP(data[[#This Row],[Year]],costs[#All],COLUMN(costs[HD_Budget]),FALSE)</f>
        <v>353.70264578164523</v>
      </c>
      <c r="V19" s="8" cm="1">
        <f t="array" ref="V19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418.77215324386577</v>
      </c>
      <c r="W19" s="8" cm="1">
        <f t="array" ref="W19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495.18370409430332</v>
      </c>
      <c r="X19" s="8" cm="1">
        <f t="array" ref="X19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3.7974383248750772</v>
      </c>
    </row>
    <row r="20" spans="1:24" x14ac:dyDescent="0.25">
      <c r="A20" t="str">
        <f>data[[#This Row],[Year]] &amp;"-"&amp;data[[#This Row],[State]]</f>
        <v>2023-Netherlands</v>
      </c>
      <c r="B20" s="2" t="s">
        <v>26</v>
      </c>
      <c r="C20">
        <v>2023</v>
      </c>
      <c r="D20" s="3">
        <v>2</v>
      </c>
      <c r="E20" s="3">
        <v>2</v>
      </c>
      <c r="F20" s="16">
        <v>33000</v>
      </c>
      <c r="G20" s="8" t="str" cm="1">
        <f t="array" ref="G20">_xlfn.IFS(ISERROR(MATCH(data[[#This Row],[UID]],CoTwo[UID],0)), "Not in CO2", ISERROR(MATCH(data[[#This Row],[UID]],gdp[UID],0)), "Not in GDP", TRUE, "")</f>
        <v/>
      </c>
      <c r="H20" s="8">
        <f>data[[#This Row],[ESFBudget]]+data[[#This Row],[CSFBudget]]+data[[#This Row],[HDBudget]]+data[[#This Row],[RFDBudget]]</f>
        <v>23758.779284109485</v>
      </c>
      <c r="I20" s="8">
        <f>ROUND(data[[#This Row],[ESFActual]]+data[[#This Row],[CSFActual]]+data[[#This Row],[HDActual]]+data[[#This Row],[RFDActual]],2)</f>
        <v>18253.21</v>
      </c>
      <c r="J20" s="6">
        <f>VLOOKUP(data[[#This Row],[UID]],gdp[],MATCH("Year-5",gdp[#Headers],0),FALSE)+VLOOKUP(data[[#This Row],[UID]],gdp[],MATCH("Year-4",gdp[#Headers],0),FALSE)+VLOOKUP(data[[#This Row],[UID]],gdp[],MATCH("Year-3",gdp[#Headers],0),FALSE)</f>
        <v>2737.8869999999997</v>
      </c>
      <c r="K20" s="17" cm="1">
        <f t="array" ref="K20">VLOOKUP(data[[#This Row],[UID]],CoTwo[#All],COLUMN(CoTwo[ESF_CO2_TONNES]),FALSE)</f>
        <v>1348457.4620999999</v>
      </c>
      <c r="L20" s="7">
        <f>IF(data[[#This Row],[ESF]]=2,1,0)*(0.7*data[[#This Row],[ESFe]]/SUMIFS(data[ESFe],data[Year],data[[#This Row],[Year]],data[ESF],2)+0.3*data[[#This Row],[GDP_3Years]]/SUMIFS(data[GDP_3Years],data[Year],data[[#This Row],[Year]],data[ESF],2))</f>
        <v>4.3669368072012334E-2</v>
      </c>
      <c r="M20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4.3669368072012334E-2</v>
      </c>
      <c r="N20" s="8" cm="1">
        <f t="array" ref="N20">data[[#This Row],[ESF%Budget]]*VLOOKUP(data[[#This Row],[Year]],costs[#All],COLUMN(costs[ESF_Budget]),FALSE)</f>
        <v>3493.5494457609866</v>
      </c>
      <c r="O20" s="8" cm="1">
        <f t="array" ref="O20">data[[#This Row],[ESF%Actual]]*VLOOKUP(data[[#This Row],[Year]],costs[#All],COLUMN(costs[ESF_Cost_5.4b]),FALSE)</f>
        <v>1528.9235878792756</v>
      </c>
      <c r="P20" s="17" cm="1">
        <f t="array" ref="P20">VLOOKUP(data[[#This Row],[UID]],CoTwo[#All],COLUMN(CoTwo[CSF_SET_CO2_TONNES]),FALSE)</f>
        <v>7006377.4775999999</v>
      </c>
      <c r="Q20" s="7">
        <f>IF(data[[#This Row],[CSF]]=2,1,0)*(0.7*data[[#This Row],[CSFe]]/SUMIFS(data[CSFe],data[Year],data[[#This Row],[Year]],data[CSF],2)+0.3*data[[#This Row],[GDP_3Years]]/SUMIFS(data[GDP_3Years],data[Year],data[[#This Row],[Year]],data[CSF],2))</f>
        <v>7.5124528348535086E-2</v>
      </c>
      <c r="R20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7.5124528348535086E-2</v>
      </c>
      <c r="S20" s="8" cm="1">
        <f t="array" ref="S20">data[[#This Row],[CSF%Budget]]*VLOOKUP(data[[#This Row],[Year]],costs[#All],COLUMN(costs[CSF_Budget]),FALSE)</f>
        <v>6009.9622678828073</v>
      </c>
      <c r="T20" s="8" cm="1">
        <f t="array" ref="T20">data[[#This Row],[CSF%Actual]]*VLOOKUP(data[[#This Row],[Year]],costs[#All],COLUMN(costs[CSF_Cost_5.4b]),FALSE)</f>
        <v>7281.6153430298427</v>
      </c>
      <c r="U20" s="8" cm="1">
        <f t="array" ref="U20">(data[[#This Row],[ESFBudget]]+data[[#This Row],[CSFBudget]])/(SUMIFS(data[ESFBudget],data[Year],data[[#This Row],[Year]])+SUMIFS(data[CSFBudget],data[Year],data[[#This Row],[Year]]))*VLOOKUP(data[[#This Row],[Year]],costs[#All],COLUMN(costs[HD_Budget]),FALSE)</f>
        <v>5939.6948210273704</v>
      </c>
      <c r="V20" s="8" cm="1">
        <f t="array" ref="V20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9357.811741453208</v>
      </c>
      <c r="W20" s="8" cm="1">
        <f t="array" ref="W20">(data[[#This Row],[ESFBudget]]+data[[#This Row],[CSFBudget]])/(SUMIFS(data[ESFBudget],data[Year],data[[#This Row],[Year]])+SUMIFS(data[CSFBudget],data[Year],data[[#This Row],[Year]]))*VLOOKUP(data[[#This Row],[Year]],costs[#All],COLUMN(costs[RFD_Budget]),FALSE)</f>
        <v>8315.5727494383191</v>
      </c>
      <c r="X20" s="8" cm="1">
        <f t="array" ref="X20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84.856914837092106</v>
      </c>
    </row>
    <row r="21" spans="1:24" x14ac:dyDescent="0.25">
      <c r="A21" t="str">
        <f>data[[#This Row],[Year]] &amp;"-"&amp;data[[#This Row],[State]]</f>
        <v>2023-Norway</v>
      </c>
      <c r="B21" s="2" t="s">
        <v>27</v>
      </c>
      <c r="C21">
        <v>2023</v>
      </c>
      <c r="D21" s="3">
        <v>2</v>
      </c>
      <c r="E21" s="3">
        <v>2</v>
      </c>
      <c r="F21" s="16">
        <v>12000</v>
      </c>
      <c r="G21" s="8" t="str" cm="1">
        <f t="array" ref="G21">_xlfn.IFS(ISERROR(MATCH(data[[#This Row],[UID]],CoTwo[UID],0)), "Not in CO2", ISERROR(MATCH(data[[#This Row],[UID]],gdp[UID],0)), "Not in GDP", TRUE, "")</f>
        <v/>
      </c>
      <c r="H21" s="8">
        <f>data[[#This Row],[ESFBudget]]+data[[#This Row],[CSFBudget]]+data[[#This Row],[HDBudget]]+data[[#This Row],[RFDBudget]]</f>
        <v>8335.1777446674932</v>
      </c>
      <c r="I21" s="8">
        <f>ROUND(data[[#This Row],[ESFActual]]+data[[#This Row],[CSFActual]]+data[[#This Row],[HDActual]]+data[[#This Row],[RFDActual]],2)</f>
        <v>4627.37</v>
      </c>
      <c r="J21" s="6">
        <f>VLOOKUP(data[[#This Row],[UID]],gdp[],MATCH("Year-5",gdp[#Headers],0),FALSE)+VLOOKUP(data[[#This Row],[UID]],gdp[],MATCH("Year-4",gdp[#Headers],0),FALSE)+VLOOKUP(data[[#This Row],[UID]],gdp[],MATCH("Year-3",gdp[#Headers],0),FALSE)</f>
        <v>1204.1390000000001</v>
      </c>
      <c r="K21" s="17" cm="1">
        <f t="array" ref="K21">VLOOKUP(data[[#This Row],[UID]],CoTwo[#All],COLUMN(CoTwo[ESF_CO2_TONNES]),FALSE)</f>
        <v>1053627.8004000001</v>
      </c>
      <c r="L21" s="7">
        <f>IF(data[[#This Row],[ESF]]=2,1,0)*(0.7*data[[#This Row],[ESFe]]/SUMIFS(data[ESFe],data[Year],data[[#This Row],[Year]],data[ESF],2)+0.3*data[[#This Row],[GDP_3Years]]/SUMIFS(data[GDP_3Years],data[Year],data[[#This Row],[Year]],data[ESF],2))</f>
        <v>2.9168083208491232E-2</v>
      </c>
      <c r="M21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2.9168083208491232E-2</v>
      </c>
      <c r="N21" s="8" cm="1">
        <f t="array" ref="N21">data[[#This Row],[ESF%Budget]]*VLOOKUP(data[[#This Row],[Year]],costs[#All],COLUMN(costs[ESF_Budget]),FALSE)</f>
        <v>2333.4466566792985</v>
      </c>
      <c r="O21" s="8" cm="1">
        <f t="array" ref="O21">data[[#This Row],[ESF%Actual]]*VLOOKUP(data[[#This Row],[Year]],costs[#All],COLUMN(costs[ESF_Cost_5.4b]),FALSE)</f>
        <v>1021.2140088024096</v>
      </c>
      <c r="P21" s="17" cm="1">
        <f t="array" ref="P21">VLOOKUP(data[[#This Row],[UID]],CoTwo[#All],COLUMN(CoTwo[CSF_SET_CO2_TONNES]),FALSE)</f>
        <v>708422.06720000005</v>
      </c>
      <c r="Q21" s="7">
        <f>IF(data[[#This Row],[CSF]]=2,1,0)*(0.7*data[[#This Row],[CSFe]]/SUMIFS(data[CSFe],data[Year],data[[#This Row],[Year]],data[CSF],2)+0.3*data[[#This Row],[GDP_3Years]]/SUMIFS(data[GDP_3Years],data[Year],data[[#This Row],[Year]],data[CSF],2))</f>
        <v>1.2507805514846235E-2</v>
      </c>
      <c r="R21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1.2507805514846235E-2</v>
      </c>
      <c r="S21" s="8" cm="1">
        <f t="array" ref="S21">data[[#This Row],[CSF%Budget]]*VLOOKUP(data[[#This Row],[Year]],costs[#All],COLUMN(costs[CSF_Budget]),FALSE)</f>
        <v>1000.6244411876988</v>
      </c>
      <c r="T21" s="8" cm="1">
        <f t="array" ref="T21">data[[#This Row],[CSF%Actual]]*VLOOKUP(data[[#This Row],[Year]],costs[#All],COLUMN(costs[CSF_Cost_5.4b]),FALSE)</f>
        <v>1212.3474256236527</v>
      </c>
      <c r="U21" s="8" cm="1">
        <f t="array" ref="U21">(data[[#This Row],[ESFBudget]]+data[[#This Row],[CSFBudget]])/(SUMIFS(data[ESFBudget],data[Year],data[[#This Row],[Year]])+SUMIFS(data[CSFBudget],data[Year],data[[#This Row],[Year]]))*VLOOKUP(data[[#This Row],[Year]],costs[#All],COLUMN(costs[HD_Budget]),FALSE)</f>
        <v>2083.7944361668729</v>
      </c>
      <c r="V21" s="8" cm="1">
        <f t="array" ref="V21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2372.3006708481303</v>
      </c>
      <c r="W21" s="8" cm="1">
        <f t="array" ref="W21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2917.3122106336223</v>
      </c>
      <c r="X21" s="8" cm="1">
        <f t="array" ref="X21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21.512092950362636</v>
      </c>
    </row>
    <row r="22" spans="1:24" x14ac:dyDescent="0.25">
      <c r="A22" t="str">
        <f>data[[#This Row],[Year]] &amp;"-"&amp;data[[#This Row],[State]]</f>
        <v>2023-Portugal</v>
      </c>
      <c r="B22" s="2" t="s">
        <v>28</v>
      </c>
      <c r="C22">
        <v>2023</v>
      </c>
      <c r="D22" s="3">
        <v>2</v>
      </c>
      <c r="E22" s="3">
        <v>2</v>
      </c>
      <c r="F22" s="16">
        <v>16000</v>
      </c>
      <c r="G22" s="8" t="str" cm="1">
        <f t="array" ref="G22">_xlfn.IFS(ISERROR(MATCH(data[[#This Row],[UID]],CoTwo[UID],0)), "Not in CO2", ISERROR(MATCH(data[[#This Row],[UID]],gdp[UID],0)), "Not in GDP", TRUE, "")</f>
        <v/>
      </c>
      <c r="H22" s="8">
        <f>data[[#This Row],[ESFBudget]]+data[[#This Row],[CSFBudget]]+data[[#This Row],[HDBudget]]+data[[#This Row],[RFDBudget]]</f>
        <v>10921.091299084546</v>
      </c>
      <c r="I22" s="8">
        <f>ROUND(data[[#This Row],[ESFActual]]+data[[#This Row],[CSFActual]]+data[[#This Row],[HDActual]]+data[[#This Row],[RFDActual]],2)</f>
        <v>6946.82</v>
      </c>
      <c r="J22" s="6">
        <f>VLOOKUP(data[[#This Row],[UID]],gdp[],MATCH("Year-5",gdp[#Headers],0),FALSE)+VLOOKUP(data[[#This Row],[UID]],gdp[],MATCH("Year-4",gdp[#Headers],0),FALSE)+VLOOKUP(data[[#This Row],[UID]],gdp[],MATCH("Year-3",gdp[#Headers],0),FALSE)</f>
        <v>710.79200000000003</v>
      </c>
      <c r="K22" s="17" cm="1">
        <f t="array" ref="K22">VLOOKUP(data[[#This Row],[UID]],CoTwo[#All],COLUMN(CoTwo[ESF_CO2_TONNES]),FALSE)</f>
        <v>1274250.4393499999</v>
      </c>
      <c r="L22" s="7">
        <f>IF(data[[#This Row],[ESF]]=2,1,0)*(0.7*data[[#This Row],[ESFe]]/SUMIFS(data[ESFe],data[Year],data[[#This Row],[Year]],data[ESF],2)+0.3*data[[#This Row],[GDP_3Years]]/SUMIFS(data[GDP_3Years],data[Year],data[[#This Row],[Year]],data[ESF],2))</f>
        <v>3.1326900721193547E-2</v>
      </c>
      <c r="M22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3.1326900721193547E-2</v>
      </c>
      <c r="N22" s="8" cm="1">
        <f t="array" ref="N22">data[[#This Row],[ESF%Budget]]*VLOOKUP(data[[#This Row],[Year]],costs[#All],COLUMN(costs[ESF_Budget]),FALSE)</f>
        <v>2506.1520576954836</v>
      </c>
      <c r="O22" s="8" cm="1">
        <f t="array" ref="O22">data[[#This Row],[ESF%Actual]]*VLOOKUP(data[[#This Row],[Year]],costs[#All],COLUMN(costs[ESF_Cost_5.4b]),FALSE)</f>
        <v>1096.7971271945632</v>
      </c>
      <c r="P22" s="17" cm="1">
        <f t="array" ref="P22">VLOOKUP(data[[#This Row],[UID]],CoTwo[#All],COLUMN(CoTwo[CSF_SET_CO2_TONNES]),FALSE)</f>
        <v>2255269.1946999999</v>
      </c>
      <c r="Q22" s="7">
        <f>IF(data[[#This Row],[CSF]]=2,1,0)*(0.7*data[[#This Row],[CSFe]]/SUMIFS(data[CSFe],data[Year],data[[#This Row],[Year]],data[CSF],2)+0.3*data[[#This Row],[GDP_3Years]]/SUMIFS(data[GDP_3Years],data[Year],data[[#This Row],[Year]],data[CSF],2))</f>
        <v>2.3278555774229198E-2</v>
      </c>
      <c r="R22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2.3278555774229198E-2</v>
      </c>
      <c r="S22" s="8" cm="1">
        <f t="array" ref="S22">data[[#This Row],[CSF%Budget]]*VLOOKUP(data[[#This Row],[Year]],costs[#All],COLUMN(costs[CSF_Budget]),FALSE)</f>
        <v>1862.2844619383359</v>
      </c>
      <c r="T22" s="8" cm="1">
        <f t="array" ref="T22">data[[#This Row],[CSF%Actual]]*VLOOKUP(data[[#This Row],[Year]],costs[#All],COLUMN(costs[CSF_Cost_5.4b]),FALSE)</f>
        <v>2256.3268298044309</v>
      </c>
      <c r="U22" s="8" cm="1">
        <f t="array" ref="U22">(data[[#This Row],[ESFBudget]]+data[[#This Row],[CSFBudget]])/(SUMIFS(data[ESFBudget],data[Year],data[[#This Row],[Year]])+SUMIFS(data[CSFBudget],data[Year],data[[#This Row],[Year]]))*VLOOKUP(data[[#This Row],[Year]],costs[#All],COLUMN(costs[HD_Budget]),FALSE)</f>
        <v>2730.2728247711366</v>
      </c>
      <c r="V22" s="8" cm="1">
        <f t="array" ref="V22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3561.4056054248076</v>
      </c>
      <c r="W22" s="8" cm="1">
        <f t="array" ref="W22">(data[[#This Row],[ESFBudget]]+data[[#This Row],[CSFBudget]])/(SUMIFS(data[ESFBudget],data[Year],data[[#This Row],[Year]])+SUMIFS(data[CSFBudget],data[Year],data[[#This Row],[Year]]))*VLOOKUP(data[[#This Row],[Year]],costs[#All],COLUMN(costs[RFD_Budget]),FALSE)</f>
        <v>3822.3819546795912</v>
      </c>
      <c r="X22" s="8" cm="1">
        <f t="array" ref="X22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32.294931818423613</v>
      </c>
    </row>
    <row r="23" spans="1:24" x14ac:dyDescent="0.25">
      <c r="A23" t="str">
        <f>data[[#This Row],[Year]] &amp;"-"&amp;data[[#This Row],[State]]</f>
        <v>2023-Romania</v>
      </c>
      <c r="B23" s="2" t="s">
        <v>29</v>
      </c>
      <c r="C23">
        <v>2023</v>
      </c>
      <c r="D23" s="3">
        <v>2</v>
      </c>
      <c r="E23" s="3">
        <v>2</v>
      </c>
      <c r="F23" s="16">
        <v>9000</v>
      </c>
      <c r="G23" s="8" t="str" cm="1">
        <f t="array" ref="G23">_xlfn.IFS(ISERROR(MATCH(data[[#This Row],[UID]],CoTwo[UID],0)), "Not in CO2", ISERROR(MATCH(data[[#This Row],[UID]],gdp[UID],0)), "Not in GDP", TRUE, "")</f>
        <v/>
      </c>
      <c r="H23" s="8">
        <f>data[[#This Row],[ESFBudget]]+data[[#This Row],[CSFBudget]]+data[[#This Row],[HDBudget]]+data[[#This Row],[RFDBudget]]</f>
        <v>5945.9603211257263</v>
      </c>
      <c r="I23" s="8">
        <f>ROUND(data[[#This Row],[ESFActual]]+data[[#This Row],[CSFActual]]+data[[#This Row],[HDActual]]+data[[#This Row],[RFDActual]],2)</f>
        <v>3549.27</v>
      </c>
      <c r="J23" s="6">
        <f>VLOOKUP(data[[#This Row],[UID]],gdp[],MATCH("Year-5",gdp[#Headers],0),FALSE)+VLOOKUP(data[[#This Row],[UID]],gdp[],MATCH("Year-4",gdp[#Headers],0),FALSE)+VLOOKUP(data[[#This Row],[UID]],gdp[],MATCH("Year-3",gdp[#Headers],0),FALSE)</f>
        <v>740.84799999999996</v>
      </c>
      <c r="K23" s="17" cm="1">
        <f t="array" ref="K23">VLOOKUP(data[[#This Row],[UID]],CoTwo[#All],COLUMN(CoTwo[ESF_CO2_TONNES]),FALSE)</f>
        <v>691052.69204999995</v>
      </c>
      <c r="L23" s="7">
        <f>IF(data[[#This Row],[ESF]]=2,1,0)*(0.7*data[[#This Row],[ESFe]]/SUMIFS(data[ESFe],data[Year],data[[#This Row],[Year]],data[ESF],2)+0.3*data[[#This Row],[GDP_3Years]]/SUMIFS(data[GDP_3Years],data[Year],data[[#This Row],[Year]],data[ESF],2))</f>
        <v>1.8871607064494627E-2</v>
      </c>
      <c r="M23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1.8871607064494627E-2</v>
      </c>
      <c r="N23" s="8" cm="1">
        <f t="array" ref="N23">data[[#This Row],[ESF%Budget]]*VLOOKUP(data[[#This Row],[Year]],costs[#All],COLUMN(costs[ESF_Budget]),FALSE)</f>
        <v>1509.7285651595701</v>
      </c>
      <c r="O23" s="8" cm="1">
        <f t="array" ref="O23">data[[#This Row],[ESF%Actual]]*VLOOKUP(data[[#This Row],[Year]],costs[#All],COLUMN(costs[ESF_Cost_5.4b]),FALSE)</f>
        <v>660.72046507554194</v>
      </c>
      <c r="P23" s="17" cm="1">
        <f t="array" ref="P23">VLOOKUP(data[[#This Row],[UID]],CoTwo[#All],COLUMN(CoTwo[CSF_SET_CO2_TONNES]),FALSE)</f>
        <v>801391.24265000003</v>
      </c>
      <c r="Q23" s="7">
        <f>IF(data[[#This Row],[CSF]]=2,1,0)*(0.7*data[[#This Row],[CSFe]]/SUMIFS(data[CSFe],data[Year],data[[#This Row],[Year]],data[CSF],2)+0.3*data[[#This Row],[GDP_3Years]]/SUMIFS(data[GDP_3Years],data[Year],data[[#This Row],[Year]],data[CSF],2))</f>
        <v>1.0858194541134012E-2</v>
      </c>
      <c r="R23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1.0858194541134012E-2</v>
      </c>
      <c r="S23" s="8" cm="1">
        <f t="array" ref="S23">data[[#This Row],[CSF%Budget]]*VLOOKUP(data[[#This Row],[Year]],costs[#All],COLUMN(costs[CSF_Budget]),FALSE)</f>
        <v>868.65556329072103</v>
      </c>
      <c r="T23" s="8" cm="1">
        <f t="array" ref="T23">data[[#This Row],[CSF%Actual]]*VLOOKUP(data[[#This Row],[Year]],costs[#All],COLUMN(costs[CSF_Cost_5.4b]),FALSE)</f>
        <v>1052.4551395718156</v>
      </c>
      <c r="U23" s="8" cm="1">
        <f t="array" ref="U23">(data[[#This Row],[ESFBudget]]+data[[#This Row],[CSFBudget]])/(SUMIFS(data[ESFBudget],data[Year],data[[#This Row],[Year]])+SUMIFS(data[CSFBudget],data[Year],data[[#This Row],[Year]]))*VLOOKUP(data[[#This Row],[Year]],costs[#All],COLUMN(costs[HD_Budget]),FALSE)</f>
        <v>1486.4900802814316</v>
      </c>
      <c r="V23" s="8" cm="1">
        <f t="array" ref="V23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1819.5907099505907</v>
      </c>
      <c r="W23" s="8" cm="1">
        <f t="array" ref="W23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2081.086112394004</v>
      </c>
      <c r="X23" s="8" cm="1">
        <f t="array" ref="X23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16.500102607178881</v>
      </c>
    </row>
    <row r="24" spans="1:24" x14ac:dyDescent="0.25">
      <c r="A24" t="str">
        <f>data[[#This Row],[Year]] &amp;"-"&amp;data[[#This Row],[State]]</f>
        <v>2023-Slovakia</v>
      </c>
      <c r="B24" s="2" t="s">
        <v>80</v>
      </c>
      <c r="C24">
        <v>2023</v>
      </c>
      <c r="D24" s="3">
        <v>2</v>
      </c>
      <c r="E24" s="3">
        <v>2</v>
      </c>
      <c r="F24" s="16">
        <v>2000</v>
      </c>
      <c r="G24" s="8" t="str" cm="1">
        <f t="array" ref="G24">_xlfn.IFS(ISERROR(MATCH(data[[#This Row],[UID]],CoTwo[UID],0)), "Not in CO2", ISERROR(MATCH(data[[#This Row],[UID]],gdp[UID],0)), "Not in GDP", TRUE, "")</f>
        <v/>
      </c>
      <c r="H24" s="8">
        <f>data[[#This Row],[ESFBudget]]+data[[#This Row],[CSFBudget]]+data[[#This Row],[HDBudget]]+data[[#This Row],[RFDBudget]]</f>
        <v>967.14193722376785</v>
      </c>
      <c r="I24" s="8">
        <f>ROUND(data[[#This Row],[ESFActual]]+data[[#This Row],[CSFActual]]+data[[#This Row],[HDActual]]+data[[#This Row],[RFDActual]],2)</f>
        <v>635.04</v>
      </c>
      <c r="J24" s="6">
        <f>VLOOKUP(data[[#This Row],[UID]],gdp[],MATCH("Year-5",gdp[#Headers],0),FALSE)+VLOOKUP(data[[#This Row],[UID]],gdp[],MATCH("Year-4",gdp[#Headers],0),FALSE)+VLOOKUP(data[[#This Row],[UID]],gdp[],MATCH("Year-3",gdp[#Headers],0),FALSE)</f>
        <v>316.04499999999996</v>
      </c>
      <c r="K24" s="17" cm="1">
        <f t="array" ref="K24">VLOOKUP(data[[#This Row],[UID]],CoTwo[#All],COLUMN(CoTwo[ESF_CO2_TONNES]),FALSE)</f>
        <v>43707.632850000002</v>
      </c>
      <c r="L24" s="7">
        <f>IF(data[[#This Row],[ESF]]=2,1,0)*(0.7*data[[#This Row],[ESFe]]/SUMIFS(data[ESFe],data[Year],data[[#This Row],[Year]],data[ESF],2)+0.3*data[[#This Row],[GDP_3Years]]/SUMIFS(data[GDP_3Years],data[Year],data[[#This Row],[Year]],data[ESF],2))</f>
        <v>2.6194588367441599E-3</v>
      </c>
      <c r="M24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2.6194588367441599E-3</v>
      </c>
      <c r="N24" s="8" cm="1">
        <f t="array" ref="N24">data[[#This Row],[ESF%Budget]]*VLOOKUP(data[[#This Row],[Year]],costs[#All],COLUMN(costs[ESF_Budget]),FALSE)</f>
        <v>209.5567069395328</v>
      </c>
      <c r="O24" s="8" cm="1">
        <f t="array" ref="O24">data[[#This Row],[ESF%Actual]]*VLOOKUP(data[[#This Row],[Year]],costs[#All],COLUMN(costs[ESF_Cost_5.4b]),FALSE)</f>
        <v>91.710793624781715</v>
      </c>
      <c r="P24" s="17" cm="1">
        <f t="array" ref="P24">VLOOKUP(data[[#This Row],[UID]],CoTwo[#All],COLUMN(CoTwo[CSF_SET_CO2_TONNES]),FALSE)</f>
        <v>62662.561350000004</v>
      </c>
      <c r="Q24" s="7">
        <f>IF(data[[#This Row],[CSF]]=2,1,0)*(0.7*data[[#This Row],[CSFe]]/SUMIFS(data[CSFe],data[Year],data[[#This Row],[Year]],data[CSF],2)+0.3*data[[#This Row],[GDP_3Years]]/SUMIFS(data[GDP_3Years],data[Year],data[[#This Row],[Year]],data[CSF],2))</f>
        <v>2.216250849374679E-3</v>
      </c>
      <c r="R24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2.216250849374679E-3</v>
      </c>
      <c r="S24" s="8" cm="1">
        <f t="array" ref="S24">data[[#This Row],[CSF%Budget]]*VLOOKUP(data[[#This Row],[Year]],costs[#All],COLUMN(costs[CSF_Budget]),FALSE)</f>
        <v>177.30006794997433</v>
      </c>
      <c r="T24" s="8" cm="1">
        <f t="array" ref="T24">data[[#This Row],[CSF%Actual]]*VLOOKUP(data[[#This Row],[Year]],costs[#All],COLUMN(costs[CSF_Cost_5.4b]),FALSE)</f>
        <v>214.81514151994367</v>
      </c>
      <c r="U24" s="8" cm="1">
        <f t="array" ref="U24">(data[[#This Row],[ESFBudget]]+data[[#This Row],[CSFBudget]])/(SUMIFS(data[ESFBudget],data[Year],data[[#This Row],[Year]])+SUMIFS(data[CSFBudget],data[Year],data[[#This Row],[Year]]))*VLOOKUP(data[[#This Row],[Year]],costs[#All],COLUMN(costs[HD_Budget]),FALSE)</f>
        <v>241.78548430594194</v>
      </c>
      <c r="V24" s="8" cm="1">
        <f t="array" ref="V24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325.56600878230927</v>
      </c>
      <c r="W24" s="8" cm="1">
        <f t="array" ref="W24">(data[[#This Row],[ESFBudget]]+data[[#This Row],[CSFBudget]])/(SUMIFS(data[ESFBudget],data[Year],data[[#This Row],[Year]])+SUMIFS(data[CSFBudget],data[Year],data[[#This Row],[Year]]))*VLOOKUP(data[[#This Row],[Year]],costs[#All],COLUMN(costs[RFD_Budget]),FALSE)</f>
        <v>338.49967802831867</v>
      </c>
      <c r="X24" s="8" cm="1">
        <f t="array" ref="X24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2.9522422382908688</v>
      </c>
    </row>
    <row r="25" spans="1:24" x14ac:dyDescent="0.25">
      <c r="A25" t="str">
        <f>data[[#This Row],[Year]] &amp;"-"&amp;data[[#This Row],[State]]</f>
        <v>2023-Slovenia</v>
      </c>
      <c r="B25" s="2" t="s">
        <v>31</v>
      </c>
      <c r="C25">
        <v>2023</v>
      </c>
      <c r="D25" s="3">
        <v>2</v>
      </c>
      <c r="E25" s="3">
        <v>2</v>
      </c>
      <c r="F25" s="16">
        <v>1000</v>
      </c>
      <c r="G25" s="8" t="str" cm="1">
        <f t="array" ref="G25">_xlfn.IFS(ISERROR(MATCH(data[[#This Row],[UID]],CoTwo[UID],0)), "Not in CO2", ISERROR(MATCH(data[[#This Row],[UID]],gdp[UID],0)), "Not in GDP", TRUE, "")</f>
        <v/>
      </c>
      <c r="H25" s="8">
        <f>data[[#This Row],[ESFBudget]]+data[[#This Row],[CSFBudget]]+data[[#This Row],[HDBudget]]+data[[#This Row],[RFDBudget]]</f>
        <v>522.3008866576057</v>
      </c>
      <c r="I25" s="8">
        <f>ROUND(data[[#This Row],[ESFActual]]+data[[#This Row],[CSFActual]]+data[[#This Row],[HDActual]]+data[[#This Row],[RFDActual]],2)</f>
        <v>345.8</v>
      </c>
      <c r="J25" s="6">
        <f>VLOOKUP(data[[#This Row],[UID]],gdp[],MATCH("Year-5",gdp[#Headers],0),FALSE)+VLOOKUP(data[[#This Row],[UID]],gdp[],MATCH("Year-4",gdp[#Headers],0),FALSE)+VLOOKUP(data[[#This Row],[UID]],gdp[],MATCH("Year-3",gdp[#Headers],0),FALSE)</f>
        <v>161.92000000000002</v>
      </c>
      <c r="K25" s="17" cm="1">
        <f t="array" ref="K25">VLOOKUP(data[[#This Row],[UID]],CoTwo[#All],COLUMN(CoTwo[ESF_CO2_TONNES]),FALSE)</f>
        <v>24722.677350000002</v>
      </c>
      <c r="L25" s="7">
        <f>IF(data[[#This Row],[ESF]]=2,1,0)*(0.7*data[[#This Row],[ESFe]]/SUMIFS(data[ESFe],data[Year],data[[#This Row],[Year]],data[ESF],2)+0.3*data[[#This Row],[GDP_3Years]]/SUMIFS(data[GDP_3Years],data[Year],data[[#This Row],[Year]],data[ESF],2))</f>
        <v>1.3924273208510106E-3</v>
      </c>
      <c r="M25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1.3924273208510106E-3</v>
      </c>
      <c r="N25" s="8" cm="1">
        <f t="array" ref="N25">data[[#This Row],[ESF%Budget]]*VLOOKUP(data[[#This Row],[Year]],costs[#All],COLUMN(costs[ESF_Budget]),FALSE)</f>
        <v>111.39418566808085</v>
      </c>
      <c r="O25" s="8" cm="1">
        <f t="array" ref="O25">data[[#This Row],[ESF%Actual]]*VLOOKUP(data[[#This Row],[Year]],costs[#All],COLUMN(costs[ESF_Cost_5.4b]),FALSE)</f>
        <v>48.750762130241917</v>
      </c>
      <c r="P25" s="17" cm="1">
        <f t="array" ref="P25">VLOOKUP(data[[#This Row],[UID]],CoTwo[#All],COLUMN(CoTwo[CSF_SET_CO2_TONNES]),FALSE)</f>
        <v>41768.463000000003</v>
      </c>
      <c r="Q25" s="7">
        <f>IF(data[[#This Row],[CSF]]=2,1,0)*(0.7*data[[#This Row],[CSFe]]/SUMIFS(data[CSFe],data[Year],data[[#This Row],[Year]],data[CSF],2)+0.3*data[[#This Row],[GDP_3Years]]/SUMIFS(data[GDP_3Years],data[Year],data[[#This Row],[Year]],data[CSF],2))</f>
        <v>1.2190771124370183E-3</v>
      </c>
      <c r="R25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1.2190771124370183E-3</v>
      </c>
      <c r="S25" s="8" cm="1">
        <f t="array" ref="S25">data[[#This Row],[CSF%Budget]]*VLOOKUP(data[[#This Row],[Year]],costs[#All],COLUMN(costs[CSF_Budget]),FALSE)</f>
        <v>97.526168994961466</v>
      </c>
      <c r="T25" s="8" cm="1">
        <f t="array" ref="T25">data[[#This Row],[CSF%Actual]]*VLOOKUP(data[[#This Row],[Year]],costs[#All],COLUMN(costs[CSF_Cost_5.4b]),FALSE)</f>
        <v>118.16181480799948</v>
      </c>
      <c r="U25" s="8" cm="1">
        <f t="array" ref="U25">(data[[#This Row],[ESFBudget]]+data[[#This Row],[CSFBudget]])/(SUMIFS(data[ESFBudget],data[Year],data[[#This Row],[Year]])+SUMIFS(data[CSFBudget],data[Year],data[[#This Row],[Year]]))*VLOOKUP(data[[#This Row],[Year]],costs[#All],COLUMN(costs[HD_Budget]),FALSE)</f>
        <v>130.57522166440143</v>
      </c>
      <c r="V25" s="8" cm="1">
        <f t="array" ref="V25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177.28046882459188</v>
      </c>
      <c r="W25" s="8" cm="1">
        <f t="array" ref="W25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182.805310330162</v>
      </c>
      <c r="X25" s="8" cm="1">
        <f t="array" ref="X25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1.6075845572623157</v>
      </c>
    </row>
    <row r="26" spans="1:24" x14ac:dyDescent="0.25">
      <c r="A26" t="str">
        <f>data[[#This Row],[Year]] &amp;"-"&amp;data[[#This Row],[State]]</f>
        <v>2023-Spain</v>
      </c>
      <c r="B26" s="2" t="s">
        <v>32</v>
      </c>
      <c r="C26">
        <v>2023</v>
      </c>
      <c r="D26" s="3">
        <v>2</v>
      </c>
      <c r="E26" s="3">
        <v>2</v>
      </c>
      <c r="F26" s="16">
        <v>60000</v>
      </c>
      <c r="G26" s="8" t="str" cm="1">
        <f t="array" ref="G26">_xlfn.IFS(ISERROR(MATCH(data[[#This Row],[UID]],CoTwo[UID],0)), "Not in CO2", ISERROR(MATCH(data[[#This Row],[UID]],gdp[UID],0)), "Not in GDP", TRUE, "")</f>
        <v/>
      </c>
      <c r="H26" s="8">
        <f>data[[#This Row],[ESFBudget]]+data[[#This Row],[CSFBudget]]+data[[#This Row],[HDBudget]]+data[[#This Row],[RFDBudget]]</f>
        <v>43494.766385871684</v>
      </c>
      <c r="I26" s="8">
        <f>ROUND(data[[#This Row],[ESFActual]]+data[[#This Row],[CSFActual]]+data[[#This Row],[HDActual]]+data[[#This Row],[RFDActual]],2)</f>
        <v>27956.46</v>
      </c>
      <c r="J26" s="6">
        <f>VLOOKUP(data[[#This Row],[UID]],gdp[],MATCH("Year-5",gdp[#Headers],0),FALSE)+VLOOKUP(data[[#This Row],[UID]],gdp[],MATCH("Year-4",gdp[#Headers],0),FALSE)+VLOOKUP(data[[#This Row],[UID]],gdp[],MATCH("Year-3",gdp[#Headers],0),FALSE)</f>
        <v>4095.2979999999998</v>
      </c>
      <c r="K26" s="17" cm="1">
        <f t="array" ref="K26">VLOOKUP(data[[#This Row],[UID]],CoTwo[#All],COLUMN(CoTwo[ESF_CO2_TONNES]),FALSE)</f>
        <v>4660787.3476499999</v>
      </c>
      <c r="L26" s="7">
        <f>IF(data[[#This Row],[ESF]]=2,1,0)*(0.7*data[[#This Row],[ESFe]]/SUMIFS(data[ESFe],data[Year],data[[#This Row],[Year]],data[ESF],2)+0.3*data[[#This Row],[GDP_3Years]]/SUMIFS(data[GDP_3Years],data[Year],data[[#This Row],[Year]],data[ESF],2))</f>
        <v>0.12250478058101527</v>
      </c>
      <c r="M26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0.12250478058101527</v>
      </c>
      <c r="N26" s="8" cm="1">
        <f t="array" ref="N26">data[[#This Row],[ESF%Budget]]*VLOOKUP(data[[#This Row],[Year]],costs[#All],COLUMN(costs[ESF_Budget]),FALSE)</f>
        <v>9800.3824464812224</v>
      </c>
      <c r="O26" s="8" cm="1">
        <f t="array" ref="O26">data[[#This Row],[ESF%Actual]]*VLOOKUP(data[[#This Row],[Year]],costs[#All],COLUMN(costs[ESF_Cost_5.4b]),FALSE)</f>
        <v>4289.0579123889365</v>
      </c>
      <c r="P26" s="17" cm="1">
        <f t="array" ref="P26">VLOOKUP(data[[#This Row],[UID]],CoTwo[#All],COLUMN(CoTwo[CSF_SET_CO2_TONNES]),FALSE)</f>
        <v>8468905.9103500005</v>
      </c>
      <c r="Q26" s="7">
        <f>IF(data[[#This Row],[CSF]]=2,1,0)*(0.7*data[[#This Row],[CSFe]]/SUMIFS(data[CSFe],data[Year],data[[#This Row],[Year]],data[CSF],2)+0.3*data[[#This Row],[GDP_3Years]]/SUMIFS(data[GDP_3Years],data[Year],data[[#This Row],[Year]],data[CSF],2))</f>
        <v>9.4969051348343159E-2</v>
      </c>
      <c r="R26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9.4969051348343159E-2</v>
      </c>
      <c r="S26" s="8" cm="1">
        <f t="array" ref="S26">data[[#This Row],[CSF%Budget]]*VLOOKUP(data[[#This Row],[Year]],costs[#All],COLUMN(costs[CSF_Budget]),FALSE)</f>
        <v>7597.5241078674526</v>
      </c>
      <c r="T26" s="8" cm="1">
        <f t="array" ref="T26">data[[#This Row],[CSF%Actual]]*VLOOKUP(data[[#This Row],[Year]],costs[#All],COLUMN(costs[CSF_Cost_5.4b]),FALSE)</f>
        <v>9205.0907554825153</v>
      </c>
      <c r="U26" s="8" cm="1">
        <f t="array" ref="U26">(data[[#This Row],[ESFBudget]]+data[[#This Row],[CSFBudget]])/(SUMIFS(data[ESFBudget],data[Year],data[[#This Row],[Year]])+SUMIFS(data[CSFBudget],data[Year],data[[#This Row],[Year]]))*VLOOKUP(data[[#This Row],[Year]],costs[#All],COLUMN(costs[HD_Budget]),FALSE)</f>
        <v>10873.691596467919</v>
      </c>
      <c r="V26" s="8" cm="1">
        <f t="array" ref="V26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14332.347185042498</v>
      </c>
      <c r="W26" s="8" cm="1">
        <f t="array" ref="W26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15223.168235055087</v>
      </c>
      <c r="X26" s="8" cm="1">
        <f t="array" ref="X26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129.96615000377429</v>
      </c>
    </row>
    <row r="27" spans="1:24" x14ac:dyDescent="0.25">
      <c r="A27" t="str">
        <f>data[[#This Row],[Year]] &amp;"-"&amp;data[[#This Row],[State]]</f>
        <v>2023-Sweden</v>
      </c>
      <c r="B27" s="2" t="s">
        <v>33</v>
      </c>
      <c r="C27">
        <v>2023</v>
      </c>
      <c r="D27" s="3">
        <v>2</v>
      </c>
      <c r="E27" s="3">
        <v>2</v>
      </c>
      <c r="F27" s="16">
        <v>12000</v>
      </c>
      <c r="G27" s="8" t="str" cm="1">
        <f t="array" ref="G27">_xlfn.IFS(ISERROR(MATCH(data[[#This Row],[UID]],CoTwo[UID],0)), "Not in CO2", ISERROR(MATCH(data[[#This Row],[UID]],gdp[UID],0)), "Not in GDP", TRUE, "")</f>
        <v/>
      </c>
      <c r="H27" s="8">
        <f>data[[#This Row],[ESFBudget]]+data[[#This Row],[CSFBudget]]+data[[#This Row],[HDBudget]]+data[[#This Row],[RFDBudget]]</f>
        <v>8158.3754670853496</v>
      </c>
      <c r="I27" s="8">
        <f>ROUND(data[[#This Row],[ESFActual]]+data[[#This Row],[CSFActual]]+data[[#This Row],[HDActual]]+data[[#This Row],[RFDActual]],2)</f>
        <v>5109.91</v>
      </c>
      <c r="J27" s="6">
        <f>VLOOKUP(data[[#This Row],[UID]],gdp[],MATCH("Year-5",gdp[#Headers],0),FALSE)+VLOOKUP(data[[#This Row],[UID]],gdp[],MATCH("Year-4",gdp[#Headers],0),FALSE)+VLOOKUP(data[[#This Row],[UID]],gdp[],MATCH("Year-3",gdp[#Headers],0),FALSE)</f>
        <v>1630.8220000000001</v>
      </c>
      <c r="K27" s="17" cm="1">
        <f t="array" ref="K27">VLOOKUP(data[[#This Row],[UID]],CoTwo[#All],COLUMN(CoTwo[ESF_CO2_TONNES]),FALSE)</f>
        <v>711241.57755000005</v>
      </c>
      <c r="L27" s="7">
        <f>IF(data[[#This Row],[ESF]]=2,1,0)*(0.7*data[[#This Row],[ESFe]]/SUMIFS(data[ESFe],data[Year],data[[#This Row],[Year]],data[ESF],2)+0.3*data[[#This Row],[GDP_3Years]]/SUMIFS(data[GDP_3Years],data[Year],data[[#This Row],[Year]],data[ESF],2))</f>
        <v>2.4022419334052567E-2</v>
      </c>
      <c r="M27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2.4022419334052567E-2</v>
      </c>
      <c r="N27" s="8" cm="1">
        <f t="array" ref="N27">data[[#This Row],[ESF%Budget]]*VLOOKUP(data[[#This Row],[Year]],costs[#All],COLUMN(costs[ESF_Budget]),FALSE)</f>
        <v>1921.7935467242053</v>
      </c>
      <c r="O27" s="8" cm="1">
        <f t="array" ref="O27">data[[#This Row],[ESF%Actual]]*VLOOKUP(data[[#This Row],[Year]],costs[#All],COLUMN(costs[ESF_Cost_5.4b]),FALSE)</f>
        <v>841.05736307412621</v>
      </c>
      <c r="P27" s="17" cm="1">
        <f t="array" ref="P27">VLOOKUP(data[[#This Row],[UID]],CoTwo[#All],COLUMN(CoTwo[CSF_SET_CO2_TONNES]),FALSE)</f>
        <v>939749.54009999998</v>
      </c>
      <c r="Q27" s="7">
        <f>IF(data[[#This Row],[CSF]]=2,1,0)*(0.7*data[[#This Row],[CSFe]]/SUMIFS(data[CSFe],data[Year],data[[#This Row],[Year]],data[CSF],2)+0.3*data[[#This Row],[GDP_3Years]]/SUMIFS(data[GDP_3Years],data[Year],data[[#This Row],[Year]],data[CSF],2))</f>
        <v>1.6769458001374186E-2</v>
      </c>
      <c r="R27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1.6769458001374186E-2</v>
      </c>
      <c r="S27" s="8" cm="1">
        <f t="array" ref="S27">data[[#This Row],[CSF%Budget]]*VLOOKUP(data[[#This Row],[Year]],costs[#All],COLUMN(costs[CSF_Budget]),FALSE)</f>
        <v>1341.556640109935</v>
      </c>
      <c r="T27" s="8" cm="1">
        <f t="array" ref="T27">data[[#This Row],[CSF%Actual]]*VLOOKUP(data[[#This Row],[Year]],costs[#All],COLUMN(costs[CSF_Cost_5.4b]),FALSE)</f>
        <v>1625.417761168306</v>
      </c>
      <c r="U27" s="8" cm="1">
        <f t="array" ref="U27">(data[[#This Row],[ESFBudget]]+data[[#This Row],[CSFBudget]])/(SUMIFS(data[ESFBudget],data[Year],data[[#This Row],[Year]])+SUMIFS(data[CSFBudget],data[Year],data[[#This Row],[Year]]))*VLOOKUP(data[[#This Row],[Year]],costs[#All],COLUMN(costs[HD_Budget]),FALSE)</f>
        <v>2039.5938667713374</v>
      </c>
      <c r="V27" s="8" cm="1">
        <f t="array" ref="V27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2619.6819580089514</v>
      </c>
      <c r="W27" s="8" cm="1">
        <f t="array" ref="W27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2855.4314134798724</v>
      </c>
      <c r="X27" s="8" cm="1">
        <f t="array" ref="X27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23.755353810581234</v>
      </c>
    </row>
    <row r="28" spans="1:24" x14ac:dyDescent="0.25">
      <c r="A28" t="str">
        <f>data[[#This Row],[Year]] &amp;"-"&amp;data[[#This Row],[State]]</f>
        <v>2023-Switzerland</v>
      </c>
      <c r="B28" s="2" t="s">
        <v>34</v>
      </c>
      <c r="C28">
        <v>2023</v>
      </c>
      <c r="D28" s="3">
        <v>2</v>
      </c>
      <c r="E28" s="3">
        <v>2</v>
      </c>
      <c r="F28" s="16">
        <v>17000</v>
      </c>
      <c r="G28" s="8" t="str" cm="1">
        <f t="array" ref="G28">_xlfn.IFS(ISERROR(MATCH(data[[#This Row],[UID]],CoTwo[UID],0)), "Not in CO2", ISERROR(MATCH(data[[#This Row],[UID]],gdp[UID],0)), "Not in GDP", TRUE, "")</f>
        <v/>
      </c>
      <c r="H28" s="8">
        <f>data[[#This Row],[ESFBudget]]+data[[#This Row],[CSFBudget]]+data[[#This Row],[HDBudget]]+data[[#This Row],[RFDBudget]]</f>
        <v>11669.710484085299</v>
      </c>
      <c r="I28" s="8">
        <f>ROUND(data[[#This Row],[ESFActual]]+data[[#This Row],[CSFActual]]+data[[#This Row],[HDActual]]+data[[#This Row],[RFDActual]],2)</f>
        <v>8429.75</v>
      </c>
      <c r="J28" s="6">
        <f>VLOOKUP(data[[#This Row],[UID]],gdp[],MATCH("Year-5",gdp[#Headers],0),FALSE)+VLOOKUP(data[[#This Row],[UID]],gdp[],MATCH("Year-4",gdp[#Headers],0),FALSE)+VLOOKUP(data[[#This Row],[UID]],gdp[],MATCH("Year-3",gdp[#Headers],0),FALSE)</f>
        <v>2220.2399999999998</v>
      </c>
      <c r="K28" s="17" cm="1">
        <f t="array" ref="K28">VLOOKUP(data[[#This Row],[UID]],CoTwo[#All],COLUMN(CoTwo[ESF_CO2_TONNES]),FALSE)</f>
        <v>641037.2598</v>
      </c>
      <c r="L28" s="7">
        <f>IF(data[[#This Row],[ESF]]=2,1,0)*(0.7*data[[#This Row],[ESFe]]/SUMIFS(data[ESFe],data[Year],data[[#This Row],[Year]],data[ESF],2)+0.3*data[[#This Row],[GDP_3Years]]/SUMIFS(data[GDP_3Years],data[Year],data[[#This Row],[Year]],data[ESF],2))</f>
        <v>2.5626013545164399E-2</v>
      </c>
      <c r="M28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2.5626013545164399E-2</v>
      </c>
      <c r="N28" s="8" cm="1">
        <f t="array" ref="N28">data[[#This Row],[ESF%Budget]]*VLOOKUP(data[[#This Row],[Year]],costs[#All],COLUMN(costs[ESF_Budget]),FALSE)</f>
        <v>2050.0810836131518</v>
      </c>
      <c r="O28" s="8" cm="1">
        <f t="array" ref="O28">data[[#This Row],[ESF%Actual]]*VLOOKUP(data[[#This Row],[Year]],costs[#All],COLUMN(costs[ESF_Cost_5.4b]),FALSE)</f>
        <v>897.20136338831617</v>
      </c>
      <c r="P28" s="17" cm="1">
        <f t="array" ref="P28">VLOOKUP(data[[#This Row],[UID]],CoTwo[#All],COLUMN(CoTwo[CSF_SET_CO2_TONNES]),FALSE)</f>
        <v>2422684.0796500002</v>
      </c>
      <c r="Q28" s="7">
        <f>IF(data[[#This Row],[CSF]]=2,1,0)*(0.7*data[[#This Row],[CSFe]]/SUMIFS(data[CSFe],data[Year],data[[#This Row],[Year]],data[CSF],2)+0.3*data[[#This Row],[GDP_3Years]]/SUMIFS(data[GDP_3Years],data[Year],data[[#This Row],[Year]],data[CSF],2))</f>
        <v>3.2722538875262094E-2</v>
      </c>
      <c r="R28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3.2722538875262094E-2</v>
      </c>
      <c r="S28" s="8" cm="1">
        <f t="array" ref="S28">data[[#This Row],[CSF%Budget]]*VLOOKUP(data[[#This Row],[Year]],costs[#All],COLUMN(costs[CSF_Budget]),FALSE)</f>
        <v>2617.8031100209673</v>
      </c>
      <c r="T28" s="8" cm="1">
        <f t="array" ref="T28">data[[#This Row],[CSF%Actual]]*VLOOKUP(data[[#This Row],[Year]],costs[#All],COLUMN(costs[CSF_Cost_5.4b]),FALSE)</f>
        <v>3171.7063171637901</v>
      </c>
      <c r="U28" s="8" cm="1">
        <f t="array" ref="U28">(data[[#This Row],[ESFBudget]]+data[[#This Row],[CSFBudget]])/(SUMIFS(data[ESFBudget],data[Year],data[[#This Row],[Year]])+SUMIFS(data[CSFBudget],data[Year],data[[#This Row],[Year]]))*VLOOKUP(data[[#This Row],[Year]],costs[#All],COLUMN(costs[HD_Budget]),FALSE)</f>
        <v>2917.4276210213243</v>
      </c>
      <c r="V28" s="8" cm="1">
        <f t="array" ref="V28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4321.6507374345993</v>
      </c>
      <c r="W28" s="8" cm="1">
        <f t="array" ref="W28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4084.3986694298537</v>
      </c>
      <c r="X28" s="8" cm="1">
        <f t="array" ref="X28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39.188857257903599</v>
      </c>
    </row>
    <row r="29" spans="1:24" x14ac:dyDescent="0.25">
      <c r="A29" t="str">
        <f>data[[#This Row],[Year]] &amp;"-"&amp;data[[#This Row],[State]]</f>
        <v>2023-United Kingdom</v>
      </c>
      <c r="B29" s="2" t="s">
        <v>35</v>
      </c>
      <c r="C29">
        <v>2023</v>
      </c>
      <c r="D29" s="3">
        <v>2</v>
      </c>
      <c r="E29" s="3">
        <v>2</v>
      </c>
      <c r="F29" s="16">
        <v>78000</v>
      </c>
      <c r="G29" s="8" t="str" cm="1">
        <f t="array" ref="G29">_xlfn.IFS(ISERROR(MATCH(data[[#This Row],[UID]],CoTwo[UID],0)), "Not in CO2", ISERROR(MATCH(data[[#This Row],[UID]],gdp[UID],0)), "Not in GDP", TRUE, "")</f>
        <v/>
      </c>
      <c r="H29" s="8">
        <f>data[[#This Row],[ESFBudget]]+data[[#This Row],[CSFBudget]]+data[[#This Row],[HDBudget]]+data[[#This Row],[RFDBudget]]</f>
        <v>56055.664281439582</v>
      </c>
      <c r="I29" s="8">
        <f>ROUND(data[[#This Row],[ESFActual]]+data[[#This Row],[CSFActual]]+data[[#This Row],[HDActual]]+data[[#This Row],[RFDActual]],2)</f>
        <v>40227.040000000001</v>
      </c>
      <c r="J29" s="6">
        <f>VLOOKUP(data[[#This Row],[UID]],gdp[],MATCH("Year-5",gdp[#Headers],0),FALSE)+VLOOKUP(data[[#This Row],[UID]],gdp[],MATCH("Year-4",gdp[#Headers],0),FALSE)+VLOOKUP(data[[#This Row],[UID]],gdp[],MATCH("Year-3",gdp[#Headers],0),FALSE)</f>
        <v>8543.74</v>
      </c>
      <c r="K29" s="17" cm="1">
        <f t="array" ref="K29">VLOOKUP(data[[#This Row],[UID]],CoTwo[#All],COLUMN(CoTwo[ESF_CO2_TONNES]),FALSE)</f>
        <v>3694354.6972500002</v>
      </c>
      <c r="L29" s="7">
        <f>IF(data[[#This Row],[ESF]]=2,1,0)*(0.7*data[[#This Row],[ESFe]]/SUMIFS(data[ESFe],data[Year],data[[#This Row],[Year]],data[ESF],2)+0.3*data[[#This Row],[GDP_3Years]]/SUMIFS(data[GDP_3Years],data[Year],data[[#This Row],[Year]],data[ESF],2))</f>
        <v>0.12516403822383701</v>
      </c>
      <c r="M29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0.12516403822383701</v>
      </c>
      <c r="N29" s="8" cm="1">
        <f t="array" ref="N29">data[[#This Row],[ESF%Budget]]*VLOOKUP(data[[#This Row],[Year]],costs[#All],COLUMN(costs[ESF_Budget]),FALSE)</f>
        <v>10013.123057906962</v>
      </c>
      <c r="O29" s="8" cm="1">
        <f t="array" ref="O29">data[[#This Row],[ESF%Actual]]*VLOOKUP(data[[#This Row],[Year]],costs[#All],COLUMN(costs[ESF_Cost_5.4b]),FALSE)</f>
        <v>4382.1621159957704</v>
      </c>
      <c r="P29" s="17" cm="1">
        <f t="array" ref="P29">VLOOKUP(data[[#This Row],[UID]],CoTwo[#All],COLUMN(CoTwo[CSF_SET_CO2_TONNES]),FALSE)</f>
        <v>12696872.37575</v>
      </c>
      <c r="Q29" s="7">
        <f>IF(data[[#This Row],[CSF]]=2,1,0)*(0.7*data[[#This Row],[CSFe]]/SUMIFS(data[CSFe],data[Year],data[[#This Row],[Year]],data[CSF],2)+0.3*data[[#This Row],[GDP_3Years]]/SUMIFS(data[GDP_3Years],data[Year],data[[#This Row],[Year]],data[CSF],2))</f>
        <v>0.1551142831833609</v>
      </c>
      <c r="R29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0.1551142831833609</v>
      </c>
      <c r="S29" s="8" cm="1">
        <f t="array" ref="S29">data[[#This Row],[CSF%Budget]]*VLOOKUP(data[[#This Row],[Year]],costs[#All],COLUMN(costs[CSF_Budget]),FALSE)</f>
        <v>12409.142654668873</v>
      </c>
      <c r="T29" s="8" cm="1">
        <f t="array" ref="T29">data[[#This Row],[CSF%Actual]]*VLOOKUP(data[[#This Row],[Year]],costs[#All],COLUMN(costs[CSF_Cost_5.4b]),FALSE)</f>
        <v>15034.80380084225</v>
      </c>
      <c r="U29" s="8" cm="1">
        <f t="array" ref="U29">(data[[#This Row],[ESFBudget]]+data[[#This Row],[CSFBudget]])/(SUMIFS(data[ESFBudget],data[Year],data[[#This Row],[Year]])+SUMIFS(data[CSFBudget],data[Year],data[[#This Row],[Year]]))*VLOOKUP(data[[#This Row],[Year]],costs[#All],COLUMN(costs[HD_Budget]),FALSE)</f>
        <v>14013.916070359894</v>
      </c>
      <c r="V29" s="8" cm="1">
        <f t="array" ref="V29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20623.06438514707</v>
      </c>
      <c r="W29" s="8" cm="1">
        <f t="array" ref="W29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19619.48249850385</v>
      </c>
      <c r="X29" s="8" cm="1">
        <f t="array" ref="X29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187.01056043456231</v>
      </c>
    </row>
    <row r="30" spans="1:24" x14ac:dyDescent="0.25">
      <c r="A30" t="str">
        <f>data[[#This Row],[Year]] &amp;"-"&amp;data[[#This Row],[State]]</f>
        <v>2024-Austria</v>
      </c>
      <c r="B30" s="2" t="s">
        <v>8</v>
      </c>
      <c r="C30">
        <v>2024</v>
      </c>
      <c r="D30" s="3">
        <v>2</v>
      </c>
      <c r="E30" s="3">
        <v>2</v>
      </c>
      <c r="F30" s="16">
        <v>11000</v>
      </c>
      <c r="G30" s="8" t="str" cm="1">
        <f t="array" ref="G30">_xlfn.IFS(ISERROR(MATCH(data[[#This Row],[UID]],CoTwo[UID],0)), "Not in CO2", ISERROR(MATCH(data[[#This Row],[UID]],gdp[UID],0)), "Not in GDP", TRUE, "")</f>
        <v/>
      </c>
      <c r="H30" s="16">
        <f>data[[#This Row],[ESFBudget]]+data[[#This Row],[CSFBudget]]+data[[#This Row],[HDBudget]]+data[[#This Row],[RFDBudget]]</f>
        <v>8263.1637777933702</v>
      </c>
      <c r="I30" s="8">
        <f>ROUND(data[[#This Row],[ESFActual]]+data[[#This Row],[CSFActual]]+data[[#This Row],[HDActual]]+data[[#This Row],[RFDActual]],2)</f>
        <v>6094.45</v>
      </c>
      <c r="J30" s="6">
        <f>VLOOKUP(data[[#This Row],[UID]],gdp[],MATCH("Year-5",gdp[#Headers],0),FALSE)+VLOOKUP(data[[#This Row],[UID]],gdp[],MATCH("Year-4",gdp[#Headers],0),FALSE)+VLOOKUP(data[[#This Row],[UID]],gdp[],MATCH("Year-3",gdp[#Headers],0),FALSE)</f>
        <v>1360.2350000000001</v>
      </c>
      <c r="K30" s="17" cm="1">
        <f t="array" ref="K30">VLOOKUP(data[[#This Row],[UID]],CoTwo[#All],COLUMN(CoTwo[ESF_CO2_TONNES]),FALSE)</f>
        <v>1057955.8342500001</v>
      </c>
      <c r="L30" s="7">
        <f>IF(data[[#This Row],[ESF]]=2,1,0)*(0.7*data[[#This Row],[ESFe]]/SUMIFS(data[ESFe],data[Year],data[[#This Row],[Year]],data[ESF],2)+0.3*data[[#This Row],[GDP_3Years]]/SUMIFS(data[GDP_3Years],data[Year],data[[#This Row],[Year]],data[ESF],2))</f>
        <v>1.9977209711427166E-2</v>
      </c>
      <c r="M30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1.9977209711427166E-2</v>
      </c>
      <c r="N30" s="8" cm="1">
        <f t="array" ref="N30">data[[#This Row],[ESF%Budget]]*VLOOKUP(data[[#This Row],[Year]],costs[#All],COLUMN(costs[ESF_Budget]),FALSE)</f>
        <v>1917.812132297008</v>
      </c>
      <c r="O30" s="8" cm="1">
        <f t="array" ref="O30">data[[#This Row],[ESF%Actual]]*VLOOKUP(data[[#This Row],[Year]],costs[#All],COLUMN(costs[ESF_Cost_5.4b]),FALSE)</f>
        <v>632.53499496726749</v>
      </c>
      <c r="P30" s="17" cm="1">
        <f t="array" ref="P30">VLOOKUP(data[[#This Row],[UID]],CoTwo[#All],COLUMN(CoTwo[CSF_SET_CO2_TONNES]),FALSE)</f>
        <v>2093495.47275</v>
      </c>
      <c r="Q30" s="7">
        <f>IF(data[[#This Row],[CSF]]=2,1,0)*(0.7*data[[#This Row],[CSFe]]/SUMIFS(data[CSFe],data[Year],data[[#This Row],[Year]],data[CSF],2)+0.3*data[[#This Row],[GDP_3Years]]/SUMIFS(data[GDP_3Years],data[Year],data[[#This Row],[Year]],data[CSF],2))</f>
        <v>1.8039034508763655E-2</v>
      </c>
      <c r="R30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1.8039034508763655E-2</v>
      </c>
      <c r="S30" s="8" cm="1">
        <f t="array" ref="S30">data[[#This Row],[CSF%Budget]]*VLOOKUP(data[[#This Row],[Year]],costs[#All],COLUMN(costs[CSF_Budget]),FALSE)</f>
        <v>1118.4201395433465</v>
      </c>
      <c r="T30" s="8" cm="1">
        <f t="array" ref="T30">data[[#This Row],[CSF%Actual]]*VLOOKUP(data[[#This Row],[Year]],costs[#All],COLUMN(costs[CSF_Cost_5.4b]),FALSE)</f>
        <v>340.34011900235771</v>
      </c>
      <c r="U30" s="8" cm="1">
        <f t="array" ref="U30">(data[[#This Row],[ESFBudget]]+data[[#This Row],[CSFBudget]])/(SUMIFS(data[ESFBudget],data[Year],data[[#This Row],[Year]])+SUMIFS(data[CSFBudget],data[Year],data[[#This Row],[Year]]))*VLOOKUP(data[[#This Row],[Year]],costs[#All],COLUMN(costs[HD_Budget]),FALSE)</f>
        <v>1691.0660754553874</v>
      </c>
      <c r="V30" s="8" cm="1">
        <f t="array" ref="V30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2409.3548307128231</v>
      </c>
      <c r="W30" s="8" cm="1">
        <f t="array" ref="W30">(data[[#This Row],[ESFBudget]]+data[[#This Row],[CSFBudget]])/(SUMIFS(data[ESFBudget],data[Year],data[[#This Row],[Year]])+SUMIFS(data[CSFBudget],data[Year],data[[#This Row],[Year]]))*VLOOKUP(data[[#This Row],[Year]],costs[#All],COLUMN(costs[RFD_Budget]),FALSE)</f>
        <v>3535.865430497628</v>
      </c>
      <c r="X30" s="8" cm="1">
        <f t="array" ref="X30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2712.2205649797547</v>
      </c>
    </row>
    <row r="31" spans="1:24" x14ac:dyDescent="0.25">
      <c r="A31" t="str">
        <f>data[[#This Row],[Year]] &amp;"-"&amp;data[[#This Row],[State]]</f>
        <v>2024-Belgium</v>
      </c>
      <c r="B31" s="2" t="s">
        <v>9</v>
      </c>
      <c r="C31">
        <v>2024</v>
      </c>
      <c r="D31" s="3">
        <v>2</v>
      </c>
      <c r="E31" s="3">
        <v>2</v>
      </c>
      <c r="F31" s="16">
        <v>21000</v>
      </c>
      <c r="G31" s="8" t="str" cm="1">
        <f t="array" ref="G31">_xlfn.IFS(ISERROR(MATCH(data[[#This Row],[UID]],CoTwo[UID],0)), "Not in CO2", ISERROR(MATCH(data[[#This Row],[UID]],gdp[UID],0)), "Not in GDP", TRUE, "")</f>
        <v/>
      </c>
      <c r="H31" s="16">
        <f>data[[#This Row],[ESFBudget]]+data[[#This Row],[CSFBudget]]+data[[#This Row],[HDBudget]]+data[[#This Row],[RFDBudget]]</f>
        <v>11976.693734094726</v>
      </c>
      <c r="I31" s="8">
        <f>ROUND(data[[#This Row],[ESFActual]]+data[[#This Row],[CSFActual]]+data[[#This Row],[HDActual]]+data[[#This Row],[RFDActual]],2)</f>
        <v>8753.36</v>
      </c>
      <c r="J31" s="6">
        <f>VLOOKUP(data[[#This Row],[UID]],gdp[],MATCH("Year-5",gdp[#Headers],0),FALSE)+VLOOKUP(data[[#This Row],[UID]],gdp[],MATCH("Year-4",gdp[#Headers],0),FALSE)+VLOOKUP(data[[#This Row],[UID]],gdp[],MATCH("Year-3",gdp[#Headers],0),FALSE)</f>
        <v>1655.181</v>
      </c>
      <c r="K31" s="17" cm="1">
        <f t="array" ref="K31">VLOOKUP(data[[#This Row],[UID]],CoTwo[#All],COLUMN(CoTwo[ESF_CO2_TONNES]),FALSE)</f>
        <v>1241092.6605</v>
      </c>
      <c r="L31" s="7">
        <f>IF(data[[#This Row],[ESF]]=2,1,0)*(0.7*data[[#This Row],[ESFe]]/SUMIFS(data[ESFe],data[Year],data[[#This Row],[Year]],data[ESF],2)+0.3*data[[#This Row],[GDP_3Years]]/SUMIFS(data[GDP_3Years],data[Year],data[[#This Row],[Year]],data[ESF],2))</f>
        <v>2.3742772389508286E-2</v>
      </c>
      <c r="M31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2.3742772389508286E-2</v>
      </c>
      <c r="N31" s="8" cm="1">
        <f t="array" ref="N31">data[[#This Row],[ESF%Budget]]*VLOOKUP(data[[#This Row],[Year]],costs[#All],COLUMN(costs[ESF_Budget]),FALSE)</f>
        <v>2279.3061493927953</v>
      </c>
      <c r="O31" s="8" cm="1">
        <f t="array" ref="O31">data[[#This Row],[ESF%Actual]]*VLOOKUP(data[[#This Row],[Year]],costs[#All],COLUMN(costs[ESF_Cost_5.4b]),FALSE)</f>
        <v>751.76336589769471</v>
      </c>
      <c r="P31" s="17" cm="1">
        <f t="array" ref="P31">VLOOKUP(data[[#This Row],[UID]],CoTwo[#All],COLUMN(CoTwo[CSF_SET_CO2_TONNES]),FALSE)</f>
        <v>4879967.0153999999</v>
      </c>
      <c r="Q31" s="7">
        <f>IF(data[[#This Row],[CSF]]=2,1,0)*(0.7*data[[#This Row],[CSFe]]/SUMIFS(data[CSFe],data[Year],data[[#This Row],[Year]],data[CSF],2)+0.3*data[[#This Row],[GDP_3Years]]/SUMIFS(data[GDP_3Years],data[Year],data[[#This Row],[Year]],data[CSF],2))</f>
        <v>3.4216652878772118E-2</v>
      </c>
      <c r="R31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3.4216652878772118E-2</v>
      </c>
      <c r="S31" s="8" cm="1">
        <f t="array" ref="S31">data[[#This Row],[CSF%Budget]]*VLOOKUP(data[[#This Row],[Year]],costs[#All],COLUMN(costs[CSF_Budget]),FALSE)</f>
        <v>2121.4324784838714</v>
      </c>
      <c r="T31" s="8" cm="1">
        <f t="array" ref="T31">data[[#This Row],[CSF%Actual]]*VLOOKUP(data[[#This Row],[Year]],costs[#All],COLUMN(costs[CSF_Cost_5.4b]),FALSE)</f>
        <v>645.5611416989193</v>
      </c>
      <c r="U31" s="8" cm="1">
        <f t="array" ref="U31">(data[[#This Row],[ESFBudget]]+data[[#This Row],[CSFBudget]])/(SUMIFS(data[ESFBudget],data[Year],data[[#This Row],[Year]])+SUMIFS(data[CSFBudget],data[Year],data[[#This Row],[Year]]))*VLOOKUP(data[[#This Row],[Year]],costs[#All],COLUMN(costs[HD_Budget]),FALSE)</f>
        <v>2451.0442990705483</v>
      </c>
      <c r="V31" s="8" cm="1">
        <f t="array" ref="V31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3460.5166728074319</v>
      </c>
      <c r="W31" s="8" cm="1">
        <f t="array" ref="W31">(data[[#This Row],[ESFBudget]]+data[[#This Row],[CSFBudget]])/(SUMIFS(data[ESFBudget],data[Year],data[[#This Row],[Year]])+SUMIFS(data[CSFBudget],data[Year],data[[#This Row],[Year]]))*VLOOKUP(data[[#This Row],[Year]],costs[#All],COLUMN(costs[RFD_Budget]),FALSE)</f>
        <v>5124.9108071475102</v>
      </c>
      <c r="X31" s="8" cm="1">
        <f t="array" ref="X31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3895.5177401855826</v>
      </c>
    </row>
    <row r="32" spans="1:24" x14ac:dyDescent="0.25">
      <c r="A32" t="str">
        <f>data[[#This Row],[Year]] &amp;"-"&amp;data[[#This Row],[State]]</f>
        <v>2024-Bulgaria</v>
      </c>
      <c r="B32" s="2" t="s">
        <v>10</v>
      </c>
      <c r="C32">
        <v>2024</v>
      </c>
      <c r="D32" s="3">
        <v>2</v>
      </c>
      <c r="E32" s="3">
        <v>2</v>
      </c>
      <c r="F32" s="16">
        <v>4000</v>
      </c>
      <c r="G32" s="8" t="str" cm="1">
        <f t="array" ref="G32">_xlfn.IFS(ISERROR(MATCH(data[[#This Row],[UID]],CoTwo[UID],0)), "Not in CO2", ISERROR(MATCH(data[[#This Row],[UID]],gdp[UID],0)), "Not in GDP", TRUE, "")</f>
        <v/>
      </c>
      <c r="H32" s="16">
        <f>data[[#This Row],[ESFBudget]]+data[[#This Row],[CSFBudget]]+data[[#This Row],[HDBudget]]+data[[#This Row],[RFDBudget]]</f>
        <v>2679.1273775191585</v>
      </c>
      <c r="I32" s="8">
        <f>ROUND(data[[#This Row],[ESFActual]]+data[[#This Row],[CSFActual]]+data[[#This Row],[HDActual]]+data[[#This Row],[RFDActual]],2)</f>
        <v>1989.28</v>
      </c>
      <c r="J32" s="6">
        <f>VLOOKUP(data[[#This Row],[UID]],gdp[],MATCH("Year-5",gdp[#Headers],0),FALSE)+VLOOKUP(data[[#This Row],[UID]],gdp[],MATCH("Year-4",gdp[#Headers],0),FALSE)+VLOOKUP(data[[#This Row],[UID]],gdp[],MATCH("Year-3",gdp[#Headers],0),FALSE)</f>
        <v>223.38600000000002</v>
      </c>
      <c r="K32" s="17" cm="1">
        <f t="array" ref="K32">VLOOKUP(data[[#This Row],[UID]],CoTwo[#All],COLUMN(CoTwo[ESF_CO2_TONNES]),FALSE)</f>
        <v>505765.68839999998</v>
      </c>
      <c r="L32" s="7">
        <f>IF(data[[#This Row],[ESF]]=2,1,0)*(0.7*data[[#This Row],[ESFe]]/SUMIFS(data[ESFe],data[Year],data[[#This Row],[Year]],data[ESF],2)+0.3*data[[#This Row],[GDP_3Years]]/SUMIFS(data[GDP_3Years],data[Year],data[[#This Row],[Year]],data[ESF],2))</f>
        <v>7.344070111767494E-3</v>
      </c>
      <c r="M32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7.344070111767494E-3</v>
      </c>
      <c r="N32" s="8" cm="1">
        <f t="array" ref="N32">data[[#This Row],[ESF%Budget]]*VLOOKUP(data[[#This Row],[Year]],costs[#All],COLUMN(costs[ESF_Budget]),FALSE)</f>
        <v>705.03073072967948</v>
      </c>
      <c r="O32" s="8" cm="1">
        <f t="array" ref="O32">data[[#This Row],[ESF%Actual]]*VLOOKUP(data[[#This Row],[Year]],costs[#All],COLUMN(costs[ESF_Cost_5.4b]),FALSE)</f>
        <v>232.53404345697518</v>
      </c>
      <c r="P32" s="17" cm="1">
        <f t="array" ref="P32">VLOOKUP(data[[#This Row],[UID]],CoTwo[#All],COLUMN(CoTwo[CSF_SET_CO2_TONNES]),FALSE)</f>
        <v>637386.45655</v>
      </c>
      <c r="Q32" s="7">
        <f>IF(data[[#This Row],[CSF]]=2,1,0)*(0.7*data[[#This Row],[CSFe]]/SUMIFS(data[CSFe],data[Year],data[[#This Row],[Year]],data[CSF],2)+0.3*data[[#This Row],[GDP_3Years]]/SUMIFS(data[GDP_3Years],data[Year],data[[#This Row],[Year]],data[CSF],2))</f>
        <v>4.5063357627256138E-3</v>
      </c>
      <c r="R32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4.5063357627256138E-3</v>
      </c>
      <c r="S32" s="8" cm="1">
        <f t="array" ref="S32">data[[#This Row],[CSF%Budget]]*VLOOKUP(data[[#This Row],[Year]],costs[#All],COLUMN(costs[CSF_Budget]),FALSE)</f>
        <v>279.39281728898806</v>
      </c>
      <c r="T32" s="8" cm="1">
        <f t="array" ref="T32">data[[#This Row],[CSF%Actual]]*VLOOKUP(data[[#This Row],[Year]],costs[#All],COLUMN(costs[CSF_Cost_5.4b]),FALSE)</f>
        <v>85.020451011695002</v>
      </c>
      <c r="U32" s="8" cm="1">
        <f t="array" ref="U32">(data[[#This Row],[ESFBudget]]+data[[#This Row],[CSFBudget]])/(SUMIFS(data[ESFBudget],data[Year],data[[#This Row],[Year]])+SUMIFS(data[CSFBudget],data[Year],data[[#This Row],[Year]]))*VLOOKUP(data[[#This Row],[Year]],costs[#All],COLUMN(costs[HD_Budget]),FALSE)</f>
        <v>548.28653307368825</v>
      </c>
      <c r="V32" s="8" cm="1">
        <f t="array" ref="V32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786.43337081654113</v>
      </c>
      <c r="W32" s="8" cm="1">
        <f t="array" ref="W32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1146.4172964268027</v>
      </c>
      <c r="X32" s="8" cm="1">
        <f t="array" ref="X32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885.29125478953051</v>
      </c>
    </row>
    <row r="33" spans="1:24" x14ac:dyDescent="0.25">
      <c r="A33" t="str">
        <f>data[[#This Row],[Year]] &amp;"-"&amp;data[[#This Row],[State]]</f>
        <v>2024-Croatia</v>
      </c>
      <c r="B33" s="2" t="s">
        <v>11</v>
      </c>
      <c r="C33">
        <v>2024</v>
      </c>
      <c r="D33" s="3">
        <v>2</v>
      </c>
      <c r="E33" s="3">
        <v>2</v>
      </c>
      <c r="F33" s="16">
        <v>3000</v>
      </c>
      <c r="G33" s="8" t="str" cm="1">
        <f t="array" ref="G33">_xlfn.IFS(ISERROR(MATCH(data[[#This Row],[UID]],CoTwo[UID],0)), "Not in CO2", ISERROR(MATCH(data[[#This Row],[UID]],gdp[UID],0)), "Not in GDP", TRUE, "")</f>
        <v/>
      </c>
      <c r="H33" s="16">
        <f>data[[#This Row],[ESFBudget]]+data[[#This Row],[CSFBudget]]+data[[#This Row],[HDBudget]]+data[[#This Row],[RFDBudget]]</f>
        <v>2465.8866604949121</v>
      </c>
      <c r="I33" s="8">
        <f>ROUND(data[[#This Row],[ESFActual]]+data[[#This Row],[CSFActual]]+data[[#This Row],[HDActual]]+data[[#This Row],[RFDActual]],2)</f>
        <v>1834.24</v>
      </c>
      <c r="J33" s="6">
        <f>VLOOKUP(data[[#This Row],[UID]],gdp[],MATCH("Year-5",gdp[#Headers],0),FALSE)+VLOOKUP(data[[#This Row],[UID]],gdp[],MATCH("Year-4",gdp[#Headers],0),FALSE)+VLOOKUP(data[[#This Row],[UID]],gdp[],MATCH("Year-3",gdp[#Headers],0),FALSE)</f>
        <v>187.80700000000002</v>
      </c>
      <c r="K33" s="17" cm="1">
        <f t="array" ref="K33">VLOOKUP(data[[#This Row],[UID]],CoTwo[#All],COLUMN(CoTwo[ESF_CO2_TONNES]),FALSE)</f>
        <v>490546.97369999997</v>
      </c>
      <c r="L33" s="7">
        <f>IF(data[[#This Row],[ESF]]=2,1,0)*(0.7*data[[#This Row],[ESFe]]/SUMIFS(data[ESFe],data[Year],data[[#This Row],[Year]],data[ESF],2)+0.3*data[[#This Row],[GDP_3Years]]/SUMIFS(data[GDP_3Years],data[Year],data[[#This Row],[Year]],data[ESF],2))</f>
        <v>6.9739449784815121E-3</v>
      </c>
      <c r="M33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6.9739449784815121E-3</v>
      </c>
      <c r="N33" s="8" cm="1">
        <f t="array" ref="N33">data[[#This Row],[ESF%Budget]]*VLOOKUP(data[[#This Row],[Year]],costs[#All],COLUMN(costs[ESF_Budget]),FALSE)</f>
        <v>669.49871793422517</v>
      </c>
      <c r="O33" s="8" cm="1">
        <f t="array" ref="O33">data[[#This Row],[ESF%Actual]]*VLOOKUP(data[[#This Row],[Year]],costs[#All],COLUMN(costs[ESF_Cost_5.4b]),FALSE)</f>
        <v>220.81483428301379</v>
      </c>
      <c r="P33" s="17" cm="1">
        <f t="array" ref="P33">VLOOKUP(data[[#This Row],[UID]],CoTwo[#All],COLUMN(CoTwo[CSF_SET_CO2_TONNES]),FALSE)</f>
        <v>541014.79299999995</v>
      </c>
      <c r="Q33" s="7">
        <f>IF(data[[#This Row],[CSF]]=2,1,0)*(0.7*data[[#This Row],[CSFe]]/SUMIFS(data[CSFe],data[Year],data[[#This Row],[Year]],data[CSF],2)+0.3*data[[#This Row],[GDP_3Years]]/SUMIFS(data[GDP_3Years],data[Year],data[[#This Row],[Year]],data[CSF],2))</f>
        <v>3.815665553131255E-3</v>
      </c>
      <c r="R33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3.815665553131255E-3</v>
      </c>
      <c r="S33" s="8" cm="1">
        <f t="array" ref="S33">data[[#This Row],[CSF%Budget]]*VLOOKUP(data[[#This Row],[Year]],costs[#All],COLUMN(costs[CSF_Budget]),FALSE)</f>
        <v>236.57126429413782</v>
      </c>
      <c r="T33" s="8" cm="1">
        <f t="array" ref="T33">data[[#This Row],[CSF%Actual]]*VLOOKUP(data[[#This Row],[Year]],costs[#All],COLUMN(costs[CSF_Cost_5.4b]),FALSE)</f>
        <v>71.989665954405481</v>
      </c>
      <c r="U33" s="8" cm="1">
        <f t="array" ref="U33">(data[[#This Row],[ESFBudget]]+data[[#This Row],[CSFBudget]])/(SUMIFS(data[ESFBudget],data[Year],data[[#This Row],[Year]])+SUMIFS(data[CSFBudget],data[Year],data[[#This Row],[Year]]))*VLOOKUP(data[[#This Row],[Year]],costs[#All],COLUMN(costs[HD_Budget]),FALSE)</f>
        <v>504.64657238035409</v>
      </c>
      <c r="V33" s="8" cm="1">
        <f t="array" ref="V33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725.13925679828412</v>
      </c>
      <c r="W33" s="8" cm="1">
        <f t="array" ref="W33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1055.170105886195</v>
      </c>
      <c r="X33" s="8" cm="1">
        <f t="array" ref="X33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816.2922205114013</v>
      </c>
    </row>
    <row r="34" spans="1:24" x14ac:dyDescent="0.25">
      <c r="A34" t="str">
        <f>data[[#This Row],[Year]] &amp;"-"&amp;data[[#This Row],[State]]</f>
        <v>2024-Cyprus</v>
      </c>
      <c r="B34" s="2" t="s">
        <v>12</v>
      </c>
      <c r="C34">
        <v>2024</v>
      </c>
      <c r="D34" s="3">
        <v>2</v>
      </c>
      <c r="E34" s="3">
        <v>2</v>
      </c>
      <c r="F34" s="16">
        <v>4000</v>
      </c>
      <c r="G34" s="8" t="str" cm="1">
        <f t="array" ref="G34">_xlfn.IFS(ISERROR(MATCH(data[[#This Row],[UID]],CoTwo[UID],0)), "Not in CO2", ISERROR(MATCH(data[[#This Row],[UID]],gdp[UID],0)), "Not in GDP", TRUE, "")</f>
        <v/>
      </c>
      <c r="H34" s="16">
        <f>data[[#This Row],[ESFBudget]]+data[[#This Row],[CSFBudget]]+data[[#This Row],[HDBudget]]+data[[#This Row],[RFDBudget]]</f>
        <v>2986.2142165102405</v>
      </c>
      <c r="I34" s="8">
        <f>ROUND(data[[#This Row],[ESFActual]]+data[[#This Row],[CSFActual]]+data[[#This Row],[HDActual]]+data[[#This Row],[RFDActual]],2)</f>
        <v>2222.81</v>
      </c>
      <c r="J34" s="6">
        <f>VLOOKUP(data[[#This Row],[UID]],gdp[],MATCH("Year-5",gdp[#Headers],0),FALSE)+VLOOKUP(data[[#This Row],[UID]],gdp[],MATCH("Year-4",gdp[#Headers],0),FALSE)+VLOOKUP(data[[#This Row],[UID]],gdp[],MATCH("Year-3",gdp[#Headers],0),FALSE)</f>
        <v>79.363</v>
      </c>
      <c r="K34" s="17" cm="1">
        <f t="array" ref="K34">VLOOKUP(data[[#This Row],[UID]],CoTwo[#All],COLUMN(CoTwo[ESF_CO2_TONNES]),FALSE)</f>
        <v>664752.66165000002</v>
      </c>
      <c r="L34" s="7">
        <f>IF(data[[#This Row],[ESF]]=2,1,0)*(0.7*data[[#This Row],[ESFe]]/SUMIFS(data[ESFe],data[Year],data[[#This Row],[Year]],data[ESF],2)+0.3*data[[#This Row],[GDP_3Years]]/SUMIFS(data[GDP_3Years],data[Year],data[[#This Row],[Year]],data[ESF],2))</f>
        <v>8.5454228683154165E-3</v>
      </c>
      <c r="M34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8.5454228683154165E-3</v>
      </c>
      <c r="N34" s="8" cm="1">
        <f t="array" ref="N34">data[[#This Row],[ESF%Budget]]*VLOOKUP(data[[#This Row],[Year]],costs[#All],COLUMN(costs[ESF_Budget]),FALSE)</f>
        <v>820.36059535827997</v>
      </c>
      <c r="O34" s="8" cm="1">
        <f t="array" ref="O34">data[[#This Row],[ESF%Actual]]*VLOOKUP(data[[#This Row],[Year]],costs[#All],COLUMN(costs[ESF_Cost_5.4b]),FALSE)</f>
        <v>270.57227155758346</v>
      </c>
      <c r="P34" s="17" cm="1">
        <f t="array" ref="P34">VLOOKUP(data[[#This Row],[UID]],CoTwo[#All],COLUMN(CoTwo[CSF_SET_CO2_TONNES]),FALSE)</f>
        <v>771281.96354999999</v>
      </c>
      <c r="Q34" s="7">
        <f>IF(data[[#This Row],[CSF]]=2,1,0)*(0.7*data[[#This Row],[CSFe]]/SUMIFS(data[CSFe],data[Year],data[[#This Row],[Year]],data[CSF],2)+0.3*data[[#This Row],[GDP_3Years]]/SUMIFS(data[GDP_3Years],data[Year],data[[#This Row],[Year]],data[CSF],2))</f>
        <v>4.4661211629616511E-3</v>
      </c>
      <c r="R34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4.4661211629616511E-3</v>
      </c>
      <c r="S34" s="8" cm="1">
        <f t="array" ref="S34">data[[#This Row],[CSF%Budget]]*VLOOKUP(data[[#This Row],[Year]],costs[#All],COLUMN(costs[CSF_Budget]),FALSE)</f>
        <v>276.89951210362238</v>
      </c>
      <c r="T34" s="8" cm="1">
        <f t="array" ref="T34">data[[#This Row],[CSF%Actual]]*VLOOKUP(data[[#This Row],[Year]],costs[#All],COLUMN(costs[CSF_Cost_5.4b]),FALSE)</f>
        <v>84.261727385846285</v>
      </c>
      <c r="U34" s="8" cm="1">
        <f t="array" ref="U34">(data[[#This Row],[ESFBudget]]+data[[#This Row],[CSFBudget]])/(SUMIFS(data[ESFBudget],data[Year],data[[#This Row],[Year]])+SUMIFS(data[CSFBudget],data[Year],data[[#This Row],[Year]]))*VLOOKUP(data[[#This Row],[Year]],costs[#All],COLUMN(costs[HD_Budget]),FALSE)</f>
        <v>611.13221175093292</v>
      </c>
      <c r="V34" s="8" cm="1">
        <f t="array" ref="V34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878.75719830797641</v>
      </c>
      <c r="W34" s="8" cm="1">
        <f t="array" ref="W34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1277.8218972974053</v>
      </c>
      <c r="X34" s="8" cm="1">
        <f t="array" ref="X34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989.22056414984218</v>
      </c>
    </row>
    <row r="35" spans="1:24" x14ac:dyDescent="0.25">
      <c r="A35" t="str">
        <f>data[[#This Row],[Year]] &amp;"-"&amp;data[[#This Row],[State]]</f>
        <v>2024-Czech Republic</v>
      </c>
      <c r="B35" s="2" t="s">
        <v>13</v>
      </c>
      <c r="C35">
        <v>2024</v>
      </c>
      <c r="D35" s="3">
        <v>2</v>
      </c>
      <c r="E35" s="3">
        <v>2</v>
      </c>
      <c r="F35" s="16">
        <v>5000</v>
      </c>
      <c r="G35" s="8" t="str" cm="1">
        <f t="array" ref="G35">_xlfn.IFS(ISERROR(MATCH(data[[#This Row],[UID]],CoTwo[UID],0)), "Not in CO2", ISERROR(MATCH(data[[#This Row],[UID]],gdp[UID],0)), "Not in GDP", TRUE, "")</f>
        <v/>
      </c>
      <c r="H35" s="16">
        <f>data[[#This Row],[ESFBudget]]+data[[#This Row],[CSFBudget]]+data[[#This Row],[HDBudget]]+data[[#This Row],[RFDBudget]]</f>
        <v>3792.3227329055007</v>
      </c>
      <c r="I35" s="8">
        <f>ROUND(data[[#This Row],[ESFActual]]+data[[#This Row],[CSFActual]]+data[[#This Row],[HDActual]]+data[[#This Row],[RFDActual]],2)</f>
        <v>2796.96</v>
      </c>
      <c r="J35" s="6">
        <f>VLOOKUP(data[[#This Row],[UID]],gdp[],MATCH("Year-5",gdp[#Headers],0),FALSE)+VLOOKUP(data[[#This Row],[UID]],gdp[],MATCH("Year-4",gdp[#Headers],0),FALSE)+VLOOKUP(data[[#This Row],[UID]],gdp[],MATCH("Year-3",gdp[#Headers],0),FALSE)</f>
        <v>780.31400000000008</v>
      </c>
      <c r="K35" s="17" cm="1">
        <f t="array" ref="K35">VLOOKUP(data[[#This Row],[UID]],CoTwo[#All],COLUMN(CoTwo[ESF_CO2_TONNES]),FALSE)</f>
        <v>419390.03610000003</v>
      </c>
      <c r="L35" s="7">
        <f>IF(data[[#This Row],[ESF]]=2,1,0)*(0.7*data[[#This Row],[ESFe]]/SUMIFS(data[ESFe],data[Year],data[[#This Row],[Year]],data[ESF],2)+0.3*data[[#This Row],[GDP_3Years]]/SUMIFS(data[GDP_3Years],data[Year],data[[#This Row],[Year]],data[ESF],2))</f>
        <v>9.1652970977666726E-3</v>
      </c>
      <c r="M35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9.1652970977666726E-3</v>
      </c>
      <c r="N35" s="8" cm="1">
        <f t="array" ref="N35">data[[#This Row],[ESF%Budget]]*VLOOKUP(data[[#This Row],[Year]],costs[#All],COLUMN(costs[ESF_Budget]),FALSE)</f>
        <v>879.86852138560062</v>
      </c>
      <c r="O35" s="8" cm="1">
        <f t="array" ref="O35">data[[#This Row],[ESF%Actual]]*VLOOKUP(data[[#This Row],[Year]],costs[#All],COLUMN(costs[ESF_Cost_5.4b]),FALSE)</f>
        <v>290.19924390607957</v>
      </c>
      <c r="P35" s="17" cm="1">
        <f t="array" ref="P35">VLOOKUP(data[[#This Row],[UID]],CoTwo[#All],COLUMN(CoTwo[CSF_SET_CO2_TONNES]),FALSE)</f>
        <v>808354.26064999995</v>
      </c>
      <c r="Q35" s="7">
        <f>IF(data[[#This Row],[CSF]]=2,1,0)*(0.7*data[[#This Row],[CSFe]]/SUMIFS(data[CSFe],data[Year],data[[#This Row],[Year]],data[CSF],2)+0.3*data[[#This Row],[GDP_3Years]]/SUMIFS(data[GDP_3Years],data[Year],data[[#This Row],[Year]],data[CSF],2))</f>
        <v>8.2837032109250135E-3</v>
      </c>
      <c r="R35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8.2837032109250135E-3</v>
      </c>
      <c r="S35" s="8" cm="1">
        <f t="array" ref="S35">data[[#This Row],[CSF%Budget]]*VLOOKUP(data[[#This Row],[Year]],costs[#All],COLUMN(costs[CSF_Budget]),FALSE)</f>
        <v>513.58959907735084</v>
      </c>
      <c r="T35" s="8" cm="1">
        <f t="array" ref="T35">data[[#This Row],[CSF%Actual]]*VLOOKUP(data[[#This Row],[Year]],costs[#All],COLUMN(costs[CSF_Cost_5.4b]),FALSE)</f>
        <v>156.2875515991048</v>
      </c>
      <c r="U35" s="8" cm="1">
        <f t="array" ref="U35">(data[[#This Row],[ESFBudget]]+data[[#This Row],[CSFBudget]])/(SUMIFS(data[ESFBudget],data[Year],data[[#This Row],[Year]])+SUMIFS(data[CSFBudget],data[Year],data[[#This Row],[Year]]))*VLOOKUP(data[[#This Row],[Year]],costs[#All],COLUMN(costs[HD_Budget]),FALSE)</f>
        <v>776.10325696670702</v>
      </c>
      <c r="V35" s="8" cm="1">
        <f t="array" ref="V35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1105.7381385885576</v>
      </c>
      <c r="W35" s="8" cm="1">
        <f t="array" ref="W35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1622.761355475842</v>
      </c>
      <c r="X35" s="8" cm="1">
        <f t="array" ref="X35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1244.73393488291</v>
      </c>
    </row>
    <row r="36" spans="1:24" x14ac:dyDescent="0.25">
      <c r="A36" t="str">
        <f>data[[#This Row],[Year]] &amp;"-"&amp;data[[#This Row],[State]]</f>
        <v>2024-Denmark</v>
      </c>
      <c r="B36" s="2" t="s">
        <v>14</v>
      </c>
      <c r="C36">
        <v>2024</v>
      </c>
      <c r="D36" s="3">
        <v>2</v>
      </c>
      <c r="E36" s="3">
        <v>2</v>
      </c>
      <c r="F36" s="16">
        <v>10000</v>
      </c>
      <c r="G36" s="8" t="str" cm="1">
        <f t="array" ref="G36">_xlfn.IFS(ISERROR(MATCH(data[[#This Row],[UID]],CoTwo[UID],0)), "Not in CO2", ISERROR(MATCH(data[[#This Row],[UID]],gdp[UID],0)), "Not in GDP", TRUE, "")</f>
        <v/>
      </c>
      <c r="H36" s="16">
        <f>data[[#This Row],[ESFBudget]]+data[[#This Row],[CSFBudget]]+data[[#This Row],[HDBudget]]+data[[#This Row],[RFDBudget]]</f>
        <v>8117.4414547461438</v>
      </c>
      <c r="I36" s="8">
        <f>ROUND(data[[#This Row],[ESFActual]]+data[[#This Row],[CSFActual]]+data[[#This Row],[HDActual]]+data[[#This Row],[RFDActual]],2)</f>
        <v>5994.46</v>
      </c>
      <c r="J36" s="6">
        <f>VLOOKUP(data[[#This Row],[UID]],gdp[],MATCH("Year-5",gdp[#Headers],0),FALSE)+VLOOKUP(data[[#This Row],[UID]],gdp[],MATCH("Year-4",gdp[#Headers],0),FALSE)+VLOOKUP(data[[#This Row],[UID]],gdp[],MATCH("Year-3",gdp[#Headers],0),FALSE)</f>
        <v>1100.0250000000001</v>
      </c>
      <c r="K36" s="17" cm="1">
        <f t="array" ref="K36">VLOOKUP(data[[#This Row],[UID]],CoTwo[#All],COLUMN(CoTwo[ESF_CO2_TONNES]),FALSE)</f>
        <v>1178897.30595</v>
      </c>
      <c r="L36" s="7">
        <f>IF(data[[#This Row],[ESF]]=2,1,0)*(0.7*data[[#This Row],[ESFe]]/SUMIFS(data[ESFe],data[Year],data[[#This Row],[Year]],data[ESF],2)+0.3*data[[#This Row],[GDP_3Years]]/SUMIFS(data[GDP_3Years],data[Year],data[[#This Row],[Year]],data[ESF],2))</f>
        <v>2.0112487187606311E-2</v>
      </c>
      <c r="M36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2.0112487187606311E-2</v>
      </c>
      <c r="N36" s="8" cm="1">
        <f t="array" ref="N36">data[[#This Row],[ESF%Budget]]*VLOOKUP(data[[#This Row],[Year]],costs[#All],COLUMN(costs[ESF_Budget]),FALSE)</f>
        <v>1930.7987700102058</v>
      </c>
      <c r="O36" s="8" cm="1">
        <f t="array" ref="O36">data[[#This Row],[ESF%Actual]]*VLOOKUP(data[[#This Row],[Year]],costs[#All],COLUMN(costs[ESF_Cost_5.4b]),FALSE)</f>
        <v>636.81826269835676</v>
      </c>
      <c r="P36" s="17" cm="1">
        <f t="array" ref="P36">VLOOKUP(data[[#This Row],[UID]],CoTwo[#All],COLUMN(CoTwo[CSF_SET_CO2_TONNES]),FALSE)</f>
        <v>2145166.7595000002</v>
      </c>
      <c r="Q36" s="7">
        <f>IF(data[[#This Row],[CSF]]=2,1,0)*(0.7*data[[#This Row],[CSFe]]/SUMIFS(data[CSFe],data[Year],data[[#This Row],[Year]],data[CSF],2)+0.3*data[[#This Row],[GDP_3Years]]/SUMIFS(data[GDP_3Years],data[Year],data[[#This Row],[Year]],data[CSF],2))</f>
        <v>1.6965951940941568E-2</v>
      </c>
      <c r="R36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1.6965951940941568E-2</v>
      </c>
      <c r="S36" s="8" cm="1">
        <f t="array" ref="S36">data[[#This Row],[CSF%Budget]]*VLOOKUP(data[[#This Row],[Year]],costs[#All],COLUMN(costs[CSF_Budget]),FALSE)</f>
        <v>1051.8890203383771</v>
      </c>
      <c r="T36" s="8" cm="1">
        <f t="array" ref="T36">data[[#This Row],[CSF%Actual]]*VLOOKUP(data[[#This Row],[Year]],costs[#All],COLUMN(costs[CSF_Cost_5.4b]),FALSE)</f>
        <v>320.09440969599223</v>
      </c>
      <c r="U36" s="8" cm="1">
        <f t="array" ref="U36">(data[[#This Row],[ESFBudget]]+data[[#This Row],[CSFBudget]])/(SUMIFS(data[ESFBudget],data[Year],data[[#This Row],[Year]])+SUMIFS(data[CSFBudget],data[Year],data[[#This Row],[Year]]))*VLOOKUP(data[[#This Row],[Year]],costs[#All],COLUMN(costs[HD_Budget]),FALSE)</f>
        <v>1661.2438325992109</v>
      </c>
      <c r="V36" s="8" cm="1">
        <f t="array" ref="V36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2369.8233583099181</v>
      </c>
      <c r="W36" s="8" cm="1">
        <f t="array" ref="W36">(data[[#This Row],[ESFBudget]]+data[[#This Row],[CSFBudget]])/(SUMIFS(data[ESFBudget],data[Year],data[[#This Row],[Year]])+SUMIFS(data[CSFBudget],data[Year],data[[#This Row],[Year]]))*VLOOKUP(data[[#This Row],[Year]],costs[#All],COLUMN(costs[RFD_Budget]),FALSE)</f>
        <v>3473.5098317983498</v>
      </c>
      <c r="X36" s="8" cm="1">
        <f t="array" ref="X36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2667.7198251765735</v>
      </c>
    </row>
    <row r="37" spans="1:24" x14ac:dyDescent="0.25">
      <c r="A37" t="str">
        <f>data[[#This Row],[Year]] &amp;"-"&amp;data[[#This Row],[State]]</f>
        <v>2024-Estonia</v>
      </c>
      <c r="B37" s="2" t="s">
        <v>15</v>
      </c>
      <c r="C37">
        <v>2024</v>
      </c>
      <c r="D37" s="3">
        <v>2</v>
      </c>
      <c r="E37" s="3">
        <v>2</v>
      </c>
      <c r="F37" s="16">
        <v>2000</v>
      </c>
      <c r="G37" s="8" t="str" cm="1">
        <f t="array" ref="G37">_xlfn.IFS(ISERROR(MATCH(data[[#This Row],[UID]],CoTwo[UID],0)), "Not in CO2", ISERROR(MATCH(data[[#This Row],[UID]],gdp[UID],0)), "Not in GDP", TRUE, "")</f>
        <v/>
      </c>
      <c r="H37" s="16">
        <f>data[[#This Row],[ESFBudget]]+data[[#This Row],[CSFBudget]]+data[[#This Row],[HDBudget]]+data[[#This Row],[RFDBudget]]</f>
        <v>791.83514873494596</v>
      </c>
      <c r="I37" s="8">
        <f>ROUND(data[[#This Row],[ESFActual]]+data[[#This Row],[CSFActual]]+data[[#This Row],[HDActual]]+data[[#This Row],[RFDActual]],2)</f>
        <v>586.54</v>
      </c>
      <c r="J37" s="6">
        <f>VLOOKUP(data[[#This Row],[UID]],gdp[],MATCH("Year-5",gdp[#Headers],0),FALSE)+VLOOKUP(data[[#This Row],[UID]],gdp[],MATCH("Year-4",gdp[#Headers],0),FALSE)+VLOOKUP(data[[#This Row],[UID]],gdp[],MATCH("Year-3",gdp[#Headers],0),FALSE)</f>
        <v>99.646000000000001</v>
      </c>
      <c r="K37" s="17" cm="1">
        <f t="array" ref="K37">VLOOKUP(data[[#This Row],[UID]],CoTwo[#All],COLUMN(CoTwo[ESF_CO2_TONNES]),FALSE)</f>
        <v>127821.0906</v>
      </c>
      <c r="L37" s="7">
        <f>IF(data[[#This Row],[ESF]]=2,1,0)*(0.7*data[[#This Row],[ESFe]]/SUMIFS(data[ESFe],data[Year],data[[#This Row],[Year]],data[ESF],2)+0.3*data[[#This Row],[GDP_3Years]]/SUMIFS(data[GDP_3Years],data[Year],data[[#This Row],[Year]],data[ESF],2))</f>
        <v>2.0792649046234356E-3</v>
      </c>
      <c r="M37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2.0792649046234356E-3</v>
      </c>
      <c r="N37" s="8" cm="1">
        <f t="array" ref="N37">data[[#This Row],[ESF%Budget]]*VLOOKUP(data[[#This Row],[Year]],costs[#All],COLUMN(costs[ESF_Budget]),FALSE)</f>
        <v>199.60943084384982</v>
      </c>
      <c r="O37" s="8" cm="1">
        <f t="array" ref="O37">data[[#This Row],[ESF%Actual]]*VLOOKUP(data[[#This Row],[Year]],costs[#All],COLUMN(costs[ESF_Cost_5.4b]),FALSE)</f>
        <v>65.835411200058061</v>
      </c>
      <c r="P37" s="17" cm="1">
        <f t="array" ref="P37">VLOOKUP(data[[#This Row],[UID]],CoTwo[#All],COLUMN(CoTwo[CSF_SET_CO2_TONNES]),FALSE)</f>
        <v>182230.98180000001</v>
      </c>
      <c r="Q37" s="7">
        <f>IF(data[[#This Row],[CSF]]=2,1,0)*(0.7*data[[#This Row],[CSFe]]/SUMIFS(data[CSFe],data[Year],data[[#This Row],[Year]],data[CSF],2)+0.3*data[[#This Row],[GDP_3Years]]/SUMIFS(data[GDP_3Years],data[Year],data[[#This Row],[Year]],data[CSF],2))</f>
        <v>1.4732895062740448E-3</v>
      </c>
      <c r="R37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1.4732895062740448E-3</v>
      </c>
      <c r="S37" s="8" cm="1">
        <f t="array" ref="S37">data[[#This Row],[CSF%Budget]]*VLOOKUP(data[[#This Row],[Year]],costs[#All],COLUMN(costs[CSF_Budget]),FALSE)</f>
        <v>91.343949388990779</v>
      </c>
      <c r="T37" s="8" cm="1">
        <f t="array" ref="T37">data[[#This Row],[CSF%Actual]]*VLOOKUP(data[[#This Row],[Year]],costs[#All],COLUMN(costs[CSF_Cost_5.4b]),FALSE)</f>
        <v>27.796361587236586</v>
      </c>
      <c r="U37" s="8" cm="1">
        <f t="array" ref="U37">(data[[#This Row],[ESFBudget]]+data[[#This Row],[CSFBudget]])/(SUMIFS(data[ESFBudget],data[Year],data[[#This Row],[Year]])+SUMIFS(data[CSFBudget],data[Year],data[[#This Row],[Year]]))*VLOOKUP(data[[#This Row],[Year]],costs[#All],COLUMN(costs[HD_Budget]),FALSE)</f>
        <v>162.04998392715171</v>
      </c>
      <c r="V37" s="8" cm="1">
        <f t="array" ref="V37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231.88193513635005</v>
      </c>
      <c r="W37" s="8" cm="1">
        <f t="array" ref="W37">(data[[#This Row],[ESFBudget]]+data[[#This Row],[CSFBudget]])/(SUMIFS(data[ESFBudget],data[Year],data[[#This Row],[Year]])+SUMIFS(data[CSFBudget],data[Year],data[[#This Row],[Year]]))*VLOOKUP(data[[#This Row],[Year]],costs[#All],COLUMN(costs[RFD_Budget]),FALSE)</f>
        <v>338.83178457495359</v>
      </c>
      <c r="X37" s="8" cm="1">
        <f t="array" ref="X37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261.03044064208746</v>
      </c>
    </row>
    <row r="38" spans="1:24" x14ac:dyDescent="0.25">
      <c r="A38" t="str">
        <f>data[[#This Row],[Year]] &amp;"-"&amp;data[[#This Row],[State]]</f>
        <v>2024-Finland</v>
      </c>
      <c r="B38" s="2" t="s">
        <v>16</v>
      </c>
      <c r="C38">
        <v>2024</v>
      </c>
      <c r="D38" s="3">
        <v>2</v>
      </c>
      <c r="E38" s="3">
        <v>2</v>
      </c>
      <c r="F38" s="16">
        <v>7000</v>
      </c>
      <c r="G38" s="8" t="str" cm="1">
        <f t="array" ref="G38">_xlfn.IFS(ISERROR(MATCH(data[[#This Row],[UID]],CoTwo[UID],0)), "Not in CO2", ISERROR(MATCH(data[[#This Row],[UID]],gdp[UID],0)), "Not in GDP", TRUE, "")</f>
        <v/>
      </c>
      <c r="H38" s="16">
        <f>data[[#This Row],[ESFBudget]]+data[[#This Row],[CSFBudget]]+data[[#This Row],[HDBudget]]+data[[#This Row],[RFDBudget]]</f>
        <v>6130.8773811841329</v>
      </c>
      <c r="I38" s="8">
        <f>ROUND(data[[#This Row],[ESFActual]]+data[[#This Row],[CSFActual]]+data[[#This Row],[HDActual]]+data[[#This Row],[RFDActual]],2)</f>
        <v>4527.6000000000004</v>
      </c>
      <c r="J38" s="6">
        <f>VLOOKUP(data[[#This Row],[UID]],gdp[],MATCH("Year-5",gdp[#Headers],0),FALSE)+VLOOKUP(data[[#This Row],[UID]],gdp[],MATCH("Year-4",gdp[#Headers],0),FALSE)+VLOOKUP(data[[#This Row],[UID]],gdp[],MATCH("Year-3",gdp[#Headers],0),FALSE)</f>
        <v>836.798</v>
      </c>
      <c r="K38" s="17" cm="1">
        <f t="array" ref="K38">VLOOKUP(data[[#This Row],[UID]],CoTwo[#All],COLUMN(CoTwo[ESF_CO2_TONNES]),FALSE)</f>
        <v>888690.19680000003</v>
      </c>
      <c r="L38" s="7">
        <f>IF(data[[#This Row],[ESF]]=2,1,0)*(0.7*data[[#This Row],[ESFe]]/SUMIFS(data[ESFe],data[Year],data[[#This Row],[Year]],data[ESF],2)+0.3*data[[#This Row],[GDP_3Years]]/SUMIFS(data[GDP_3Years],data[Year],data[[#This Row],[Year]],data[ESF],2))</f>
        <v>1.5200524308524466E-2</v>
      </c>
      <c r="M38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1.5200524308524466E-2</v>
      </c>
      <c r="N38" s="8" cm="1">
        <f t="array" ref="N38">data[[#This Row],[ESF%Budget]]*VLOOKUP(data[[#This Row],[Year]],costs[#All],COLUMN(costs[ESF_Budget]),FALSE)</f>
        <v>1459.2503336183488</v>
      </c>
      <c r="O38" s="8" cm="1">
        <f t="array" ref="O38">data[[#This Row],[ESF%Actual]]*VLOOKUP(data[[#This Row],[Year]],costs[#All],COLUMN(costs[ESF_Cost_5.4b]),FALSE)</f>
        <v>481.29161709167778</v>
      </c>
      <c r="P38" s="17" cm="1">
        <f t="array" ref="P38">VLOOKUP(data[[#This Row],[UID]],CoTwo[#All],COLUMN(CoTwo[CSF_SET_CO2_TONNES]),FALSE)</f>
        <v>1611327.2556499999</v>
      </c>
      <c r="Q38" s="7">
        <f>IF(data[[#This Row],[CSF]]=2,1,0)*(0.7*data[[#This Row],[CSFe]]/SUMIFS(data[CSFe],data[Year],data[[#This Row],[Year]],data[CSF],2)+0.3*data[[#This Row],[GDP_3Years]]/SUMIFS(data[GDP_3Years],data[Year],data[[#This Row],[Year]],data[CSF],2))</f>
        <v>1.2798236413023367E-2</v>
      </c>
      <c r="R38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1.2798236413023367E-2</v>
      </c>
      <c r="S38" s="8" cm="1">
        <f t="array" ref="S38">data[[#This Row],[CSF%Budget]]*VLOOKUP(data[[#This Row],[Year]],costs[#All],COLUMN(costs[CSF_Budget]),FALSE)</f>
        <v>793.49065760744872</v>
      </c>
      <c r="T38" s="8" cm="1">
        <f t="array" ref="T38">data[[#This Row],[CSF%Actual]]*VLOOKUP(data[[#This Row],[Year]],costs[#All],COLUMN(costs[CSF_Cost_5.4b]),FALSE)</f>
        <v>241.46266263377814</v>
      </c>
      <c r="U38" s="8" cm="1">
        <f t="array" ref="U38">(data[[#This Row],[ESFBudget]]+data[[#This Row],[CSFBudget]])/(SUMIFS(data[ESFBudget],data[Year],data[[#This Row],[Year]])+SUMIFS(data[CSFBudget],data[Year],data[[#This Row],[Year]]))*VLOOKUP(data[[#This Row],[Year]],costs[#All],COLUMN(costs[HD_Budget]),FALSE)</f>
        <v>1254.6911849865203</v>
      </c>
      <c r="V38" s="8" cm="1">
        <f t="array" ref="V38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1789.9229718905758</v>
      </c>
      <c r="W38" s="8" cm="1">
        <f t="array" ref="W38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2623.4452049718152</v>
      </c>
      <c r="X38" s="8" cm="1">
        <f t="array" ref="X38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2014.923593738584</v>
      </c>
    </row>
    <row r="39" spans="1:24" x14ac:dyDescent="0.25">
      <c r="A39" t="str">
        <f>data[[#This Row],[Year]] &amp;"-"&amp;data[[#This Row],[State]]</f>
        <v>2024-France</v>
      </c>
      <c r="B39" s="2" t="s">
        <v>17</v>
      </c>
      <c r="C39">
        <v>2024</v>
      </c>
      <c r="D39" s="3">
        <v>2</v>
      </c>
      <c r="E39" s="3">
        <v>2</v>
      </c>
      <c r="F39" s="16">
        <v>66000</v>
      </c>
      <c r="G39" s="8" t="str" cm="1">
        <f t="array" ref="G39">_xlfn.IFS(ISERROR(MATCH(data[[#This Row],[UID]],CoTwo[UID],0)), "Not in CO2", ISERROR(MATCH(data[[#This Row],[UID]],gdp[UID],0)), "Not in GDP", TRUE, "")</f>
        <v/>
      </c>
      <c r="H39" s="16">
        <f>data[[#This Row],[ESFBudget]]+data[[#This Row],[CSFBudget]]+data[[#This Row],[HDBudget]]+data[[#This Row],[RFDBudget]]</f>
        <v>48964.423519379663</v>
      </c>
      <c r="I39" s="8">
        <f>ROUND(data[[#This Row],[ESFActual]]+data[[#This Row],[CSFActual]]+data[[#This Row],[HDActual]]+data[[#This Row],[RFDActual]],2)</f>
        <v>35982.519999999997</v>
      </c>
      <c r="J39" s="6">
        <f>VLOOKUP(data[[#This Row],[UID]],gdp[],MATCH("Year-5",gdp[#Headers],0),FALSE)+VLOOKUP(data[[#This Row],[UID]],gdp[],MATCH("Year-4",gdp[#Headers],0),FALSE)+VLOOKUP(data[[#This Row],[UID]],gdp[],MATCH("Year-3",gdp[#Headers],0),FALSE)</f>
        <v>8322.5149999999994</v>
      </c>
      <c r="K39" s="17" cm="1">
        <f t="array" ref="K39">VLOOKUP(data[[#This Row],[UID]],CoTwo[#All],COLUMN(CoTwo[ESF_CO2_TONNES]),FALSE)</f>
        <v>5461140.7021500003</v>
      </c>
      <c r="L39" s="7">
        <f>IF(data[[#This Row],[ESF]]=2,1,0)*(0.7*data[[#This Row],[ESFe]]/SUMIFS(data[ESFe],data[Year],data[[#This Row],[Year]],data[ESF],2)+0.3*data[[#This Row],[GDP_3Years]]/SUMIFS(data[GDP_3Years],data[Year],data[[#This Row],[Year]],data[ESF],2))</f>
        <v>0.10984570890488141</v>
      </c>
      <c r="M39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0.10984570890488141</v>
      </c>
      <c r="N39" s="8" cm="1">
        <f t="array" ref="N39">data[[#This Row],[ESF%Budget]]*VLOOKUP(data[[#This Row],[Year]],costs[#All],COLUMN(costs[ESF_Budget]),FALSE)</f>
        <v>10545.188054868615</v>
      </c>
      <c r="O39" s="8" cm="1">
        <f t="array" ref="O39">data[[#This Row],[ESF%Actual]]*VLOOKUP(data[[#This Row],[Year]],costs[#All],COLUMN(costs[ESF_Cost_5.4b]),FALSE)</f>
        <v>3478.0260072847464</v>
      </c>
      <c r="P39" s="17" cm="1">
        <f t="array" ref="P39">VLOOKUP(data[[#This Row],[UID]],CoTwo[#All],COLUMN(CoTwo[CSF_SET_CO2_TONNES]),FALSE)</f>
        <v>14659628.38995</v>
      </c>
      <c r="Q39" s="7">
        <f>IF(data[[#This Row],[CSF]]=2,1,0)*(0.7*data[[#This Row],[CSFe]]/SUMIFS(data[CSFe],data[Year],data[[#This Row],[Year]],data[CSF],2)+0.3*data[[#This Row],[GDP_3Years]]/SUMIFS(data[GDP_3Years],data[Year],data[[#This Row],[Year]],data[CSF],2))</f>
        <v>0.12010307773700236</v>
      </c>
      <c r="R39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0.12010307773700236</v>
      </c>
      <c r="S39" s="8" cm="1">
        <f t="array" ref="S39">data[[#This Row],[CSF%Budget]]*VLOOKUP(data[[#This Row],[Year]],costs[#All],COLUMN(costs[CSF_Budget]),FALSE)</f>
        <v>7446.3908196941466</v>
      </c>
      <c r="T39" s="8" cm="1">
        <f t="array" ref="T39">data[[#This Row],[CSF%Actual]]*VLOOKUP(data[[#This Row],[Year]],costs[#All],COLUMN(costs[CSF_Cost_5.4b]),FALSE)</f>
        <v>2265.9691542639175</v>
      </c>
      <c r="U39" s="8" cm="1">
        <f t="array" ref="U39">(data[[#This Row],[ESFBudget]]+data[[#This Row],[CSFBudget]])/(SUMIFS(data[ESFBudget],data[Year],data[[#This Row],[Year]])+SUMIFS(data[CSFBudget],data[Year],data[[#This Row],[Year]]))*VLOOKUP(data[[#This Row],[Year]],costs[#All],COLUMN(costs[HD_Budget]),FALSE)</f>
        <v>10020.626208617234</v>
      </c>
      <c r="V39" s="8" cm="1">
        <f t="array" ref="V39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14225.178845000697</v>
      </c>
      <c r="W39" s="8" cm="1">
        <f t="array" ref="W39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20952.218436199673</v>
      </c>
      <c r="X39" s="8" cm="1">
        <f t="array" ref="X39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16013.34187563862</v>
      </c>
    </row>
    <row r="40" spans="1:24" x14ac:dyDescent="0.25">
      <c r="A40" t="str">
        <f>data[[#This Row],[Year]] &amp;"-"&amp;data[[#This Row],[State]]</f>
        <v>2024-Germany</v>
      </c>
      <c r="B40" s="2" t="s">
        <v>18</v>
      </c>
      <c r="C40">
        <v>2024</v>
      </c>
      <c r="D40" s="3">
        <v>2</v>
      </c>
      <c r="E40" s="3">
        <v>2</v>
      </c>
      <c r="F40" s="16">
        <v>95000</v>
      </c>
      <c r="G40" s="8" t="str" cm="1">
        <f t="array" ref="G40">_xlfn.IFS(ISERROR(MATCH(data[[#This Row],[UID]],CoTwo[UID],0)), "Not in CO2", ISERROR(MATCH(data[[#This Row],[UID]],gdp[UID],0)), "Not in GDP", TRUE, "")</f>
        <v/>
      </c>
      <c r="H40" s="16">
        <f>data[[#This Row],[ESFBudget]]+data[[#This Row],[CSFBudget]]+data[[#This Row],[HDBudget]]+data[[#This Row],[RFDBudget]]</f>
        <v>66944.640748707694</v>
      </c>
      <c r="I40" s="8">
        <f>ROUND(data[[#This Row],[ESFActual]]+data[[#This Row],[CSFActual]]+data[[#This Row],[HDActual]]+data[[#This Row],[RFDActual]],2)</f>
        <v>49027.72</v>
      </c>
      <c r="J40" s="6">
        <f>VLOOKUP(data[[#This Row],[UID]],gdp[],MATCH("Year-5",gdp[#Headers],0),FALSE)+VLOOKUP(data[[#This Row],[UID]],gdp[],MATCH("Year-4",gdp[#Headers],0),FALSE)+VLOOKUP(data[[#This Row],[UID]],gdp[],MATCH("Year-3",gdp[#Headers],0),FALSE)</f>
        <v>12037.976999999999</v>
      </c>
      <c r="K40" s="17" cm="1">
        <f t="array" ref="K40">VLOOKUP(data[[#This Row],[UID]],CoTwo[#All],COLUMN(CoTwo[ESF_CO2_TONNES]),FALSE)</f>
        <v>6293848.4784000004</v>
      </c>
      <c r="L40" s="7">
        <f>IF(data[[#This Row],[ESF]]=2,1,0)*(0.7*data[[#This Row],[ESFe]]/SUMIFS(data[ESFe],data[Year],data[[#This Row],[Year]],data[ESF],2)+0.3*data[[#This Row],[GDP_3Years]]/SUMIFS(data[GDP_3Years],data[Year],data[[#This Row],[Year]],data[ESF],2))</f>
        <v>0.1392385234749528</v>
      </c>
      <c r="M40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0.1392385234749528</v>
      </c>
      <c r="N40" s="8" cm="1">
        <f t="array" ref="N40">data[[#This Row],[ESF%Budget]]*VLOOKUP(data[[#This Row],[Year]],costs[#All],COLUMN(costs[ESF_Budget]),FALSE)</f>
        <v>13366.898253595469</v>
      </c>
      <c r="O40" s="8" cm="1">
        <f t="array" ref="O40">data[[#This Row],[ESF%Actual]]*VLOOKUP(data[[#This Row],[Year]],costs[#All],COLUMN(costs[ESF_Cost_5.4b]),FALSE)</f>
        <v>4408.6856982384397</v>
      </c>
      <c r="P40" s="17" cm="1">
        <f t="array" ref="P40">VLOOKUP(data[[#This Row],[UID]],CoTwo[#All],COLUMN(CoTwo[CSF_SET_CO2_TONNES]),FALSE)</f>
        <v>22617042.74385</v>
      </c>
      <c r="Q40" s="7">
        <f>IF(data[[#This Row],[CSF]]=2,1,0)*(0.7*data[[#This Row],[CSFe]]/SUMIFS(data[CSFe],data[Year],data[[#This Row],[Year]],data[CSF],2)+0.3*data[[#This Row],[GDP_3Years]]/SUMIFS(data[GDP_3Years],data[Year],data[[#This Row],[Year]],data[CSF],2))</f>
        <v>0.181151049859331</v>
      </c>
      <c r="R40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0.181151049859331</v>
      </c>
      <c r="S40" s="8" cm="1">
        <f t="array" ref="S40">data[[#This Row],[CSF%Budget]]*VLOOKUP(data[[#This Row],[Year]],costs[#All],COLUMN(costs[CSF_Budget]),FALSE)</f>
        <v>11231.365091278522</v>
      </c>
      <c r="T40" s="8" cm="1">
        <f t="array" ref="T40">data[[#This Row],[CSF%Actual]]*VLOOKUP(data[[#This Row],[Year]],costs[#All],COLUMN(costs[CSF_Cost_5.4b]),FALSE)</f>
        <v>3417.7533080595163</v>
      </c>
      <c r="U40" s="8" cm="1">
        <f t="array" ref="U40">(data[[#This Row],[ESFBudget]]+data[[#This Row],[CSFBudget]])/(SUMIFS(data[ESFBudget],data[Year],data[[#This Row],[Year]])+SUMIFS(data[CSFBudget],data[Year],data[[#This Row],[Year]]))*VLOOKUP(data[[#This Row],[Year]],costs[#All],COLUMN(costs[HD_Budget]),FALSE)</f>
        <v>13700.298571828553</v>
      </c>
      <c r="V40" s="8" cm="1">
        <f t="array" ref="V40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19382.414408939218</v>
      </c>
      <c r="W40" s="8" cm="1">
        <f t="array" ref="W40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28646.078832005154</v>
      </c>
      <c r="X40" s="8" cm="1">
        <f t="array" ref="X40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21818.862995506508</v>
      </c>
    </row>
    <row r="41" spans="1:24" x14ac:dyDescent="0.25">
      <c r="A41" t="str">
        <f>data[[#This Row],[Year]] &amp;"-"&amp;data[[#This Row],[State]]</f>
        <v>2024-Greece</v>
      </c>
      <c r="B41" s="2" t="s">
        <v>19</v>
      </c>
      <c r="C41">
        <v>2024</v>
      </c>
      <c r="D41" s="3">
        <v>2</v>
      </c>
      <c r="E41" s="3">
        <v>2</v>
      </c>
      <c r="F41" s="16">
        <v>21000</v>
      </c>
      <c r="G41" s="8" t="str" cm="1">
        <f t="array" ref="G41">_xlfn.IFS(ISERROR(MATCH(data[[#This Row],[UID]],CoTwo[UID],0)), "Not in CO2", ISERROR(MATCH(data[[#This Row],[UID]],gdp[UID],0)), "Not in GDP", TRUE, "")</f>
        <v/>
      </c>
      <c r="H41" s="16">
        <f>data[[#This Row],[ESFBudget]]+data[[#This Row],[CSFBudget]]+data[[#This Row],[HDBudget]]+data[[#This Row],[RFDBudget]]</f>
        <v>15747.21205504741</v>
      </c>
      <c r="I41" s="8">
        <f>ROUND(data[[#This Row],[ESFActual]]+data[[#This Row],[CSFActual]]+data[[#This Row],[HDActual]]+data[[#This Row],[RFDActual]],2)</f>
        <v>11719.78</v>
      </c>
      <c r="J41" s="6">
        <f>VLOOKUP(data[[#This Row],[UID]],gdp[],MATCH("Year-5",gdp[#Headers],0),FALSE)+VLOOKUP(data[[#This Row],[UID]],gdp[],MATCH("Year-4",gdp[#Headers],0),FALSE)+VLOOKUP(data[[#This Row],[UID]],gdp[],MATCH("Year-3",gdp[#Headers],0),FALSE)</f>
        <v>609.06999999999994</v>
      </c>
      <c r="K41" s="17" cm="1">
        <f t="array" ref="K41">VLOOKUP(data[[#This Row],[UID]],CoTwo[#All],COLUMN(CoTwo[ESF_CO2_TONNES]),FALSE)</f>
        <v>3415496.4396000002</v>
      </c>
      <c r="L41" s="7">
        <f>IF(data[[#This Row],[ESF]]=2,1,0)*(0.7*data[[#This Row],[ESFe]]/SUMIFS(data[ESFe],data[Year],data[[#This Row],[Year]],data[ESF],2)+0.3*data[[#This Row],[GDP_3Years]]/SUMIFS(data[GDP_3Years],data[Year],data[[#This Row],[Year]],data[ESF],2))</f>
        <v>4.4946715441041618E-2</v>
      </c>
      <c r="M41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4.4946715441041618E-2</v>
      </c>
      <c r="N41" s="8" cm="1">
        <f t="array" ref="N41">data[[#This Row],[ESF%Budget]]*VLOOKUP(data[[#This Row],[Year]],costs[#All],COLUMN(costs[ESF_Budget]),FALSE)</f>
        <v>4314.8846823399954</v>
      </c>
      <c r="O41" s="8" cm="1">
        <f t="array" ref="O41">data[[#This Row],[ESF%Actual]]*VLOOKUP(data[[#This Row],[Year]],costs[#All],COLUMN(costs[ESF_Cost_5.4b]),FALSE)</f>
        <v>1423.1402100680759</v>
      </c>
      <c r="P41" s="17" cm="1">
        <f t="array" ref="P41">VLOOKUP(data[[#This Row],[UID]],CoTwo[#All],COLUMN(CoTwo[CSF_SET_CO2_TONNES]),FALSE)</f>
        <v>3914042.4759</v>
      </c>
      <c r="Q41" s="7">
        <f>IF(data[[#This Row],[CSF]]=2,1,0)*(0.7*data[[#This Row],[CSFe]]/SUMIFS(data[CSFe],data[Year],data[[#This Row],[Year]],data[CSF],2)+0.3*data[[#This Row],[GDP_3Years]]/SUMIFS(data[GDP_3Years],data[Year],data[[#This Row],[Year]],data[CSF],2))</f>
        <v>2.3730648585569877E-2</v>
      </c>
      <c r="R41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2.3730648585569877E-2</v>
      </c>
      <c r="S41" s="8" cm="1">
        <f t="array" ref="S41">data[[#This Row],[CSF%Budget]]*VLOOKUP(data[[#This Row],[Year]],costs[#All],COLUMN(costs[CSF_Budget]),FALSE)</f>
        <v>1471.3002123053325</v>
      </c>
      <c r="T41" s="8" cm="1">
        <f t="array" ref="T41">data[[#This Row],[CSF%Actual]]*VLOOKUP(data[[#This Row],[Year]],costs[#All],COLUMN(costs[CSF_Cost_5.4b]),FALSE)</f>
        <v>447.72306187963073</v>
      </c>
      <c r="U41" s="8" cm="1">
        <f t="array" ref="U41">(data[[#This Row],[ESFBudget]]+data[[#This Row],[CSFBudget]])/(SUMIFS(data[ESFBudget],data[Year],data[[#This Row],[Year]])+SUMIFS(data[CSFBudget],data[Year],data[[#This Row],[Year]]))*VLOOKUP(data[[#This Row],[Year]],costs[#All],COLUMN(costs[HD_Budget]),FALSE)</f>
        <v>3222.6852577771447</v>
      </c>
      <c r="V41" s="8" cm="1">
        <f t="array" ref="V41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4633.249835611623</v>
      </c>
      <c r="W41" s="8" cm="1">
        <f t="array" ref="W41">(data[[#This Row],[ESFBudget]]+data[[#This Row],[CSFBudget]])/(SUMIFS(data[ESFBudget],data[Year],data[[#This Row],[Year]])+SUMIFS(data[CSFBudget],data[Year],data[[#This Row],[Year]]))*VLOOKUP(data[[#This Row],[Year]],costs[#All],COLUMN(costs[RFD_Budget]),FALSE)</f>
        <v>6738.3419026249385</v>
      </c>
      <c r="X41" s="8" cm="1">
        <f t="array" ref="X41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5215.6682472199673</v>
      </c>
    </row>
    <row r="42" spans="1:24" x14ac:dyDescent="0.25">
      <c r="A42" t="str">
        <f>data[[#This Row],[Year]] &amp;"-"&amp;data[[#This Row],[State]]</f>
        <v>2024-Iceland</v>
      </c>
      <c r="B42" s="2" t="s">
        <v>20</v>
      </c>
      <c r="C42">
        <v>2024</v>
      </c>
      <c r="D42" s="3">
        <v>2</v>
      </c>
      <c r="E42" s="3">
        <v>2</v>
      </c>
      <c r="F42" s="16">
        <v>3000</v>
      </c>
      <c r="G42" s="8" t="str" cm="1">
        <f t="array" ref="G42">_xlfn.IFS(ISERROR(MATCH(data[[#This Row],[UID]],CoTwo[UID],0)), "Not in CO2", ISERROR(MATCH(data[[#This Row],[UID]],gdp[UID],0)), "Not in GDP", TRUE, "")</f>
        <v/>
      </c>
      <c r="H42" s="16">
        <f>data[[#This Row],[ESFBudget]]+data[[#This Row],[CSFBudget]]+data[[#This Row],[HDBudget]]+data[[#This Row],[RFDBudget]]</f>
        <v>2254.1988525494025</v>
      </c>
      <c r="I42" s="8">
        <f>ROUND(data[[#This Row],[ESFActual]]+data[[#This Row],[CSFActual]]+data[[#This Row],[HDActual]]+data[[#This Row],[RFDActual]],2)</f>
        <v>1663.91</v>
      </c>
      <c r="J42" s="6">
        <f>VLOOKUP(data[[#This Row],[UID]],gdp[],MATCH("Year-5",gdp[#Headers],0),FALSE)+VLOOKUP(data[[#This Row],[UID]],gdp[],MATCH("Year-4",gdp[#Headers],0),FALSE)+VLOOKUP(data[[#This Row],[UID]],gdp[],MATCH("Year-3",gdp[#Headers],0),FALSE)</f>
        <v>71.77</v>
      </c>
      <c r="K42" s="17" cm="1">
        <f t="array" ref="K42">VLOOKUP(data[[#This Row],[UID]],CoTwo[#All],COLUMN(CoTwo[ESF_CO2_TONNES]),FALSE)</f>
        <v>422160.13309999998</v>
      </c>
      <c r="L42" s="7">
        <f>IF(data[[#This Row],[ESF]]=2,1,0)*(0.7*data[[#This Row],[ESFe]]/SUMIFS(data[ESFe],data[Year],data[[#This Row],[Year]],data[ESF],2)+0.3*data[[#This Row],[GDP_3Years]]/SUMIFS(data[GDP_3Years],data[Year],data[[#This Row],[Year]],data[ESF],2))</f>
        <v>5.5373267536830079E-3</v>
      </c>
      <c r="M42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5.5373267536830079E-3</v>
      </c>
      <c r="N42" s="8" cm="1">
        <f t="array" ref="N42">data[[#This Row],[ESF%Budget]]*VLOOKUP(data[[#This Row],[Year]],costs[#All],COLUMN(costs[ESF_Budget]),FALSE)</f>
        <v>531.58336835356874</v>
      </c>
      <c r="O42" s="8" cm="1">
        <f t="array" ref="O42">data[[#This Row],[ESF%Actual]]*VLOOKUP(data[[#This Row],[Year]],costs[#All],COLUMN(costs[ESF_Cost_5.4b]),FALSE)</f>
        <v>175.32743565631696</v>
      </c>
      <c r="P42" s="17" cm="1">
        <f t="array" ref="P42">VLOOKUP(data[[#This Row],[UID]],CoTwo[#All],COLUMN(CoTwo[CSF_SET_CO2_TONNES]),FALSE)</f>
        <v>839485.45900000003</v>
      </c>
      <c r="Q42" s="7">
        <f>IF(data[[#This Row],[CSF]]=2,1,0)*(0.7*data[[#This Row],[CSFe]]/SUMIFS(data[CSFe],data[Year],data[[#This Row],[Year]],data[CSF],2)+0.3*data[[#This Row],[GDP_3Years]]/SUMIFS(data[GDP_3Years],data[Year],data[[#This Row],[Year]],data[CSF],2))</f>
        <v>4.7855427723469991E-3</v>
      </c>
      <c r="R42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4.7855427723469991E-3</v>
      </c>
      <c r="S42" s="8" cm="1">
        <f t="array" ref="S42">data[[#This Row],[CSF%Budget]]*VLOOKUP(data[[#This Row],[Year]],costs[#All],COLUMN(costs[CSF_Budget]),FALSE)</f>
        <v>296.70365188551392</v>
      </c>
      <c r="T42" s="8" cm="1">
        <f t="array" ref="T42">data[[#This Row],[CSF%Actual]]*VLOOKUP(data[[#This Row],[Year]],costs[#All],COLUMN(costs[CSF_Cost_5.4b]),FALSE)</f>
        <v>90.288213365310426</v>
      </c>
      <c r="U42" s="8" cm="1">
        <f t="array" ref="U42">(data[[#This Row],[ESFBudget]]+data[[#This Row],[CSFBudget]])/(SUMIFS(data[ESFBudget],data[Year],data[[#This Row],[Year]])+SUMIFS(data[CSFBudget],data[Year],data[[#This Row],[Year]]))*VLOOKUP(data[[#This Row],[Year]],costs[#All],COLUMN(costs[HD_Budget]),FALSE)</f>
        <v>461.32441633569164</v>
      </c>
      <c r="V42" s="8" cm="1">
        <f t="array" ref="V42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657.80523922740656</v>
      </c>
      <c r="W42" s="8" cm="1">
        <f t="array" ref="W42">(data[[#This Row],[ESFBudget]]+data[[#This Row],[CSFBudget]])/(SUMIFS(data[ESFBudget],data[Year],data[[#This Row],[Year]])+SUMIFS(data[CSFBudget],data[Year],data[[#This Row],[Year]]))*VLOOKUP(data[[#This Row],[Year]],costs[#All],COLUMN(costs[RFD_Budget]),FALSE)</f>
        <v>964.58741597462802</v>
      </c>
      <c r="X42" s="8" cm="1">
        <f t="array" ref="X42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740.49404215657103</v>
      </c>
    </row>
    <row r="43" spans="1:24" x14ac:dyDescent="0.25">
      <c r="A43" t="str">
        <f>data[[#This Row],[Year]] &amp;"-"&amp;data[[#This Row],[State]]</f>
        <v>2024-Ireland</v>
      </c>
      <c r="B43" s="2" t="s">
        <v>21</v>
      </c>
      <c r="C43">
        <v>2024</v>
      </c>
      <c r="D43" s="3">
        <v>2</v>
      </c>
      <c r="E43" s="3">
        <v>2</v>
      </c>
      <c r="F43" s="16">
        <v>10000</v>
      </c>
      <c r="G43" s="8" t="str" cm="1">
        <f t="array" ref="G43">_xlfn.IFS(ISERROR(MATCH(data[[#This Row],[UID]],CoTwo[UID],0)), "Not in CO2", ISERROR(MATCH(data[[#This Row],[UID]],gdp[UID],0)), "Not in GDP", TRUE, "")</f>
        <v/>
      </c>
      <c r="H43" s="16">
        <f>data[[#This Row],[ESFBudget]]+data[[#This Row],[CSFBudget]]+data[[#This Row],[HDBudget]]+data[[#This Row],[RFDBudget]]</f>
        <v>9540.8279058798016</v>
      </c>
      <c r="I43" s="8">
        <f>ROUND(data[[#This Row],[ESFActual]]+data[[#This Row],[CSFActual]]+data[[#This Row],[HDActual]]+data[[#This Row],[RFDActual]],2)</f>
        <v>7030.63</v>
      </c>
      <c r="J43" s="6">
        <f>VLOOKUP(data[[#This Row],[UID]],gdp[],MATCH("Year-5",gdp[#Headers],0),FALSE)+VLOOKUP(data[[#This Row],[UID]],gdp[],MATCH("Year-4",gdp[#Headers],0),FALSE)+VLOOKUP(data[[#This Row],[UID]],gdp[],MATCH("Year-3",gdp[#Headers],0),FALSE)</f>
        <v>1329.394</v>
      </c>
      <c r="K43" s="17" cm="1">
        <f t="array" ref="K43">VLOOKUP(data[[#This Row],[UID]],CoTwo[#All],COLUMN(CoTwo[ESF_CO2_TONNES]),FALSE)</f>
        <v>1290601.9759500001</v>
      </c>
      <c r="L43" s="7">
        <f>IF(data[[#This Row],[ESF]]=2,1,0)*(0.7*data[[#This Row],[ESFe]]/SUMIFS(data[ESFe],data[Year],data[[#This Row],[Year]],data[ESF],2)+0.3*data[[#This Row],[GDP_3Years]]/SUMIFS(data[GDP_3Years],data[Year],data[[#This Row],[Year]],data[ESF],2))</f>
        <v>2.2664948485411462E-2</v>
      </c>
      <c r="M43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2.2664948485411462E-2</v>
      </c>
      <c r="N43" s="8" cm="1">
        <f t="array" ref="N43">data[[#This Row],[ESF%Budget]]*VLOOKUP(data[[#This Row],[Year]],costs[#All],COLUMN(costs[ESF_Budget]),FALSE)</f>
        <v>2175.8350545995004</v>
      </c>
      <c r="O43" s="8" cm="1">
        <f t="array" ref="O43">data[[#This Row],[ESF%Actual]]*VLOOKUP(data[[#This Row],[Year]],costs[#All],COLUMN(costs[ESF_Cost_5.4b]),FALSE)</f>
        <v>717.63641085234065</v>
      </c>
      <c r="P43" s="17" cm="1">
        <f t="array" ref="P43">VLOOKUP(data[[#This Row],[UID]],CoTwo[#All],COLUMN(CoTwo[CSF_SET_CO2_TONNES]),FALSE)</f>
        <v>2772326.1415499998</v>
      </c>
      <c r="Q43" s="7">
        <f>IF(data[[#This Row],[CSF]]=2,1,0)*(0.7*data[[#This Row],[CSFe]]/SUMIFS(data[CSFe],data[Year],data[[#This Row],[Year]],data[CSF],2)+0.3*data[[#This Row],[GDP_3Years]]/SUMIFS(data[GDP_3Years],data[Year],data[[#This Row],[Year]],data[CSF],2))</f>
        <v>2.1449427443781831E-2</v>
      </c>
      <c r="R43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2.1449427443781831E-2</v>
      </c>
      <c r="S43" s="8" cm="1">
        <f t="array" ref="S43">data[[#This Row],[CSF%Budget]]*VLOOKUP(data[[#This Row],[Year]],costs[#All],COLUMN(costs[CSF_Budget]),FALSE)</f>
        <v>1329.8645015144734</v>
      </c>
      <c r="T43" s="8" cm="1">
        <f t="array" ref="T43">data[[#This Row],[CSF%Actual]]*VLOOKUP(data[[#This Row],[Year]],costs[#All],COLUMN(costs[CSF_Cost_5.4b]),FALSE)</f>
        <v>404.6835591562641</v>
      </c>
      <c r="U43" s="8" cm="1">
        <f t="array" ref="U43">(data[[#This Row],[ESFBudget]]+data[[#This Row],[CSFBudget]])/(SUMIFS(data[ESFBudget],data[Year],data[[#This Row],[Year]])+SUMIFS(data[CSFBudget],data[Year],data[[#This Row],[Year]]))*VLOOKUP(data[[#This Row],[Year]],costs[#All],COLUMN(costs[HD_Budget]),FALSE)</f>
        <v>1952.5415249242385</v>
      </c>
      <c r="V43" s="8" cm="1">
        <f t="array" ref="V43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2779.4595652799562</v>
      </c>
      <c r="W43" s="8" cm="1">
        <f t="array" ref="W43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4082.5868248415895</v>
      </c>
      <c r="X43" s="8" cm="1">
        <f t="array" ref="X43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3128.8489749978712</v>
      </c>
    </row>
    <row r="44" spans="1:24" x14ac:dyDescent="0.25">
      <c r="A44" t="str">
        <f>data[[#This Row],[Year]] &amp;"-"&amp;data[[#This Row],[State]]</f>
        <v>2024-Italy</v>
      </c>
      <c r="B44" s="2" t="s">
        <v>22</v>
      </c>
      <c r="C44">
        <v>2024</v>
      </c>
      <c r="D44" s="3">
        <v>2</v>
      </c>
      <c r="E44" s="3">
        <v>2</v>
      </c>
      <c r="F44" s="16">
        <v>52000</v>
      </c>
      <c r="G44" s="8" t="str" cm="1">
        <f t="array" ref="G44">_xlfn.IFS(ISERROR(MATCH(data[[#This Row],[UID]],CoTwo[UID],0)), "Not in CO2", ISERROR(MATCH(data[[#This Row],[UID]],gdp[UID],0)), "Not in GDP", TRUE, "")</f>
        <v/>
      </c>
      <c r="H44" s="16">
        <f>data[[#This Row],[ESFBudget]]+data[[#This Row],[CSFBudget]]+data[[#This Row],[HDBudget]]+data[[#This Row],[RFDBudget]]</f>
        <v>42380.709136316837</v>
      </c>
      <c r="I44" s="8">
        <f>ROUND(data[[#This Row],[ESFActual]]+data[[#This Row],[CSFActual]]+data[[#This Row],[HDActual]]+data[[#This Row],[RFDActual]],2)</f>
        <v>31406.91</v>
      </c>
      <c r="J44" s="6">
        <f>VLOOKUP(data[[#This Row],[UID]],gdp[],MATCH("Year-5",gdp[#Headers],0),FALSE)+VLOOKUP(data[[#This Row],[UID]],gdp[],MATCH("Year-4",gdp[#Headers],0),FALSE)+VLOOKUP(data[[#This Row],[UID]],gdp[],MATCH("Year-3",gdp[#Headers],0),FALSE)</f>
        <v>6022.9780000000001</v>
      </c>
      <c r="K44" s="17" cm="1">
        <f t="array" ref="K44">VLOOKUP(data[[#This Row],[UID]],CoTwo[#All],COLUMN(CoTwo[ESF_CO2_TONNES]),FALSE)</f>
        <v>6623533.9012500001</v>
      </c>
      <c r="L44" s="7">
        <f>IF(data[[#This Row],[ESF]]=2,1,0)*(0.7*data[[#This Row],[ESFe]]/SUMIFS(data[ESFe],data[Year],data[[#This Row],[Year]],data[ESF],2)+0.3*data[[#This Row],[GDP_3Years]]/SUMIFS(data[GDP_3Years],data[Year],data[[#This Row],[Year]],data[ESF],2))</f>
        <v>0.11218672789080537</v>
      </c>
      <c r="M44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0.11218672789080537</v>
      </c>
      <c r="N44" s="8" cm="1">
        <f t="array" ref="N44">data[[#This Row],[ESF%Budget]]*VLOOKUP(data[[#This Row],[Year]],costs[#All],COLUMN(costs[ESF_Budget]),FALSE)</f>
        <v>10769.925877517317</v>
      </c>
      <c r="O44" s="8" cm="1">
        <f t="array" ref="O44">data[[#This Row],[ESF%Actual]]*VLOOKUP(data[[#This Row],[Year]],costs[#All],COLUMN(costs[ESF_Cost_5.4b]),FALSE)</f>
        <v>3552.1492934628295</v>
      </c>
      <c r="P44" s="17" cm="1">
        <f t="array" ref="P44">VLOOKUP(data[[#This Row],[UID]],CoTwo[#All],COLUMN(CoTwo[CSF_SET_CO2_TONNES]),FALSE)</f>
        <v>8810552.7895</v>
      </c>
      <c r="Q44" s="7">
        <f>IF(data[[#This Row],[CSF]]=2,1,0)*(0.7*data[[#This Row],[CSFe]]/SUMIFS(data[CSFe],data[Year],data[[#This Row],[Year]],data[CSF],2)+0.3*data[[#This Row],[GDP_3Years]]/SUMIFS(data[GDP_3Years],data[Year],data[[#This Row],[Year]],data[CSF],2))</f>
        <v>7.7460011860675651E-2</v>
      </c>
      <c r="R44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7.7460011860675651E-2</v>
      </c>
      <c r="S44" s="8" cm="1">
        <f t="array" ref="S44">data[[#This Row],[CSF%Budget]]*VLOOKUP(data[[#This Row],[Year]],costs[#All],COLUMN(costs[CSF_Budget]),FALSE)</f>
        <v>4802.5207353618907</v>
      </c>
      <c r="T44" s="8" cm="1">
        <f t="array" ref="T44">data[[#This Row],[CSF%Actual]]*VLOOKUP(data[[#This Row],[Year]],costs[#All],COLUMN(costs[CSF_Cost_5.4b]),FALSE)</f>
        <v>1461.4279739738256</v>
      </c>
      <c r="U44" s="8" cm="1">
        <f t="array" ref="U44">(data[[#This Row],[ESFBudget]]+data[[#This Row],[CSFBudget]])/(SUMIFS(data[ESFBudget],data[Year],data[[#This Row],[Year]])+SUMIFS(data[CSFBudget],data[Year],data[[#This Row],[Year]]))*VLOOKUP(data[[#This Row],[Year]],costs[#All],COLUMN(costs[HD_Budget]),FALSE)</f>
        <v>8673.2614046415856</v>
      </c>
      <c r="V44" s="8" cm="1">
        <f t="array" ref="V44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12416.276698827804</v>
      </c>
      <c r="W44" s="8" cm="1">
        <f t="array" ref="W44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18135.001118796041</v>
      </c>
      <c r="X44" s="8" cm="1">
        <f t="array" ref="X44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13977.0533479606</v>
      </c>
    </row>
    <row r="45" spans="1:24" x14ac:dyDescent="0.25">
      <c r="A45" t="str">
        <f>data[[#This Row],[Year]] &amp;"-"&amp;data[[#This Row],[State]]</f>
        <v>2024-Lithuania</v>
      </c>
      <c r="B45" s="2" t="s">
        <v>23</v>
      </c>
      <c r="C45">
        <v>2024</v>
      </c>
      <c r="D45" s="3">
        <v>2</v>
      </c>
      <c r="E45" s="3">
        <v>2</v>
      </c>
      <c r="F45" s="16">
        <v>2000</v>
      </c>
      <c r="G45" s="8" t="str" cm="1">
        <f t="array" ref="G45">_xlfn.IFS(ISERROR(MATCH(data[[#This Row],[UID]],CoTwo[UID],0)), "Not in CO2", ISERROR(MATCH(data[[#This Row],[UID]],gdp[UID],0)), "Not in GDP", TRUE, "")</f>
        <v/>
      </c>
      <c r="H45" s="16">
        <f>data[[#This Row],[ESFBudget]]+data[[#This Row],[CSFBudget]]+data[[#This Row],[HDBudget]]+data[[#This Row],[RFDBudget]]</f>
        <v>1544.0626543472779</v>
      </c>
      <c r="I45" s="8">
        <f>ROUND(data[[#This Row],[ESFActual]]+data[[#This Row],[CSFActual]]+data[[#This Row],[HDActual]]+data[[#This Row],[RFDActual]],2)</f>
        <v>1144.98</v>
      </c>
      <c r="J45" s="6">
        <f>VLOOKUP(data[[#This Row],[UID]],gdp[],MATCH("Year-5",gdp[#Headers],0),FALSE)+VLOOKUP(data[[#This Row],[UID]],gdp[],MATCH("Year-4",gdp[#Headers],0),FALSE)+VLOOKUP(data[[#This Row],[UID]],gdp[],MATCH("Year-3",gdp[#Headers],0),FALSE)</f>
        <v>178.048</v>
      </c>
      <c r="K45" s="17" cm="1">
        <f t="array" ref="K45">VLOOKUP(data[[#This Row],[UID]],CoTwo[#All],COLUMN(CoTwo[ESF_CO2_TONNES]),FALSE)</f>
        <v>262641.90015</v>
      </c>
      <c r="L45" s="7">
        <f>IF(data[[#This Row],[ESF]]=2,1,0)*(0.7*data[[#This Row],[ESFe]]/SUMIFS(data[ESFe],data[Year],data[[#This Row],[Year]],data[ESF],2)+0.3*data[[#This Row],[GDP_3Years]]/SUMIFS(data[GDP_3Years],data[Year],data[[#This Row],[Year]],data[ESF],2))</f>
        <v>4.1344001141962964E-3</v>
      </c>
      <c r="M45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4.1344001141962964E-3</v>
      </c>
      <c r="N45" s="8" cm="1">
        <f t="array" ref="N45">data[[#This Row],[ESF%Budget]]*VLOOKUP(data[[#This Row],[Year]],costs[#All],COLUMN(costs[ESF_Budget]),FALSE)</f>
        <v>396.90241096284444</v>
      </c>
      <c r="O45" s="8" cm="1">
        <f t="array" ref="O45">data[[#This Row],[ESF%Actual]]*VLOOKUP(data[[#This Row],[Year]],costs[#All],COLUMN(costs[ESF_Cost_5.4b]),FALSE)</f>
        <v>130.90680796777792</v>
      </c>
      <c r="P45" s="17" cm="1">
        <f t="array" ref="P45">VLOOKUP(data[[#This Row],[UID]],CoTwo[#All],COLUMN(CoTwo[CSF_SET_CO2_TONNES]),FALSE)</f>
        <v>347807.85155000002</v>
      </c>
      <c r="Q45" s="7">
        <f>IF(data[[#This Row],[CSF]]=2,1,0)*(0.7*data[[#This Row],[CSFe]]/SUMIFS(data[CSFe],data[Year],data[[#This Row],[Year]],data[CSF],2)+0.3*data[[#This Row],[GDP_3Years]]/SUMIFS(data[GDP_3Years],data[Year],data[[#This Row],[Year]],data[CSF],2))</f>
        <v>2.7492071520197605E-3</v>
      </c>
      <c r="R45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2.7492071520197605E-3</v>
      </c>
      <c r="S45" s="8" cm="1">
        <f t="array" ref="S45">data[[#This Row],[CSF%Budget]]*VLOOKUP(data[[#This Row],[Year]],costs[#All],COLUMN(costs[CSF_Budget]),FALSE)</f>
        <v>170.45084342522514</v>
      </c>
      <c r="T45" s="8" cm="1">
        <f t="array" ref="T45">data[[#This Row],[CSF%Actual]]*VLOOKUP(data[[#This Row],[Year]],costs[#All],COLUMN(costs[CSF_Cost_5.4b]),FALSE)</f>
        <v>51.868933940227059</v>
      </c>
      <c r="U45" s="8" cm="1">
        <f t="array" ref="U45">(data[[#This Row],[ESFBudget]]+data[[#This Row],[CSFBudget]])/(SUMIFS(data[ESFBudget],data[Year],data[[#This Row],[Year]])+SUMIFS(data[CSFBudget],data[Year],data[[#This Row],[Year]]))*VLOOKUP(data[[#This Row],[Year]],costs[#All],COLUMN(costs[HD_Budget]),FALSE)</f>
        <v>315.99421763386152</v>
      </c>
      <c r="V45" s="8" cm="1">
        <f t="array" ref="V45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452.64968789912035</v>
      </c>
      <c r="W45" s="8" cm="1">
        <f t="array" ref="W45">(data[[#This Row],[ESFBudget]]+data[[#This Row],[CSFBudget]])/(SUMIFS(data[ESFBudget],data[Year],data[[#This Row],[Year]])+SUMIFS(data[CSFBudget],data[Year],data[[#This Row],[Year]]))*VLOOKUP(data[[#This Row],[Year]],costs[#All],COLUMN(costs[RFD_Budget]),FALSE)</f>
        <v>660.71518232534686</v>
      </c>
      <c r="X45" s="8" cm="1">
        <f t="array" ref="X45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509.54960083170607</v>
      </c>
    </row>
    <row r="46" spans="1:24" x14ac:dyDescent="0.25">
      <c r="A46" t="str">
        <f>data[[#This Row],[Year]] &amp;"-"&amp;data[[#This Row],[State]]</f>
        <v>2024-Luxembourg</v>
      </c>
      <c r="B46" s="2" t="s">
        <v>24</v>
      </c>
      <c r="C46">
        <v>2024</v>
      </c>
      <c r="D46" s="3">
        <v>2</v>
      </c>
      <c r="E46" s="3">
        <v>2</v>
      </c>
      <c r="F46" s="16">
        <v>6000</v>
      </c>
      <c r="G46" s="8" t="str" cm="1">
        <f t="array" ref="G46">_xlfn.IFS(ISERROR(MATCH(data[[#This Row],[UID]],CoTwo[UID],0)), "Not in CO2", ISERROR(MATCH(data[[#This Row],[UID]],gdp[UID],0)), "Not in GDP", TRUE, "")</f>
        <v/>
      </c>
      <c r="H46" s="16">
        <f>data[[#This Row],[ESFBudget]]+data[[#This Row],[CSFBudget]]+data[[#This Row],[HDBudget]]+data[[#This Row],[RFDBudget]]</f>
        <v>2850.1128378303329</v>
      </c>
      <c r="I46" s="8">
        <f>ROUND(data[[#This Row],[ESFActual]]+data[[#This Row],[CSFActual]]+data[[#This Row],[HDActual]]+data[[#This Row],[RFDActual]],2)</f>
        <v>2053.2600000000002</v>
      </c>
      <c r="J46" s="6">
        <f>VLOOKUP(data[[#This Row],[UID]],gdp[],MATCH("Year-5",gdp[#Headers],0),FALSE)+VLOOKUP(data[[#This Row],[UID]],gdp[],MATCH("Year-4",gdp[#Headers],0),FALSE)+VLOOKUP(data[[#This Row],[UID]],gdp[],MATCH("Year-3",gdp[#Headers],0),FALSE)</f>
        <v>229.32900000000001</v>
      </c>
      <c r="K46" s="17" cm="1">
        <f t="array" ref="K46">VLOOKUP(data[[#This Row],[UID]],CoTwo[#All],COLUMN(CoTwo[ESF_CO2_TONNES]),FALSE)</f>
        <v>206204.74244999999</v>
      </c>
      <c r="L46" s="7">
        <f>IF(data[[#This Row],[ESF]]=2,1,0)*(0.7*data[[#This Row],[ESFe]]/SUMIFS(data[ESFe],data[Year],data[[#This Row],[Year]],data[ESF],2)+0.3*data[[#This Row],[GDP_3Years]]/SUMIFS(data[GDP_3Years],data[Year],data[[#This Row],[Year]],data[ESF],2))</f>
        <v>3.7087491413843533E-3</v>
      </c>
      <c r="M46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3.7087491413843533E-3</v>
      </c>
      <c r="N46" s="8" cm="1">
        <f t="array" ref="N46">data[[#This Row],[ESF%Budget]]*VLOOKUP(data[[#This Row],[Year]],costs[#All],COLUMN(costs[ESF_Budget]),FALSE)</f>
        <v>356.03991757289793</v>
      </c>
      <c r="O46" s="8" cm="1">
        <f t="array" ref="O46">data[[#This Row],[ESF%Actual]]*VLOOKUP(data[[#This Row],[Year]],costs[#All],COLUMN(costs[ESF_Cost_5.4b]),FALSE)</f>
        <v>117.42949357629875</v>
      </c>
      <c r="P46" s="17" cm="1">
        <f t="array" ref="P46">VLOOKUP(data[[#This Row],[UID]],CoTwo[#All],COLUMN(CoTwo[CSF_SET_CO2_TONNES]),FALSE)</f>
        <v>1894632.47385</v>
      </c>
      <c r="Q46" s="7">
        <f>IF(data[[#This Row],[CSF]]=2,1,0)*(0.7*data[[#This Row],[CSFe]]/SUMIFS(data[CSFe],data[Year],data[[#This Row],[Year]],data[CSF],2)+0.3*data[[#This Row],[GDP_3Years]]/SUMIFS(data[GDP_3Years],data[Year],data[[#This Row],[Year]],data[CSF],2))</f>
        <v>1.1148562033790188E-2</v>
      </c>
      <c r="R46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1.1148562033790188E-2</v>
      </c>
      <c r="S46" s="8" cm="1">
        <f t="array" ref="S46">data[[#This Row],[CSF%Budget]]*VLOOKUP(data[[#This Row],[Year]],costs[#All],COLUMN(costs[CSF_Budget]),FALSE)</f>
        <v>691.21084609499167</v>
      </c>
      <c r="T46" s="8" cm="1">
        <f t="array" ref="T46">data[[#This Row],[CSF%Actual]]*VLOOKUP(data[[#This Row],[Year]],costs[#All],COLUMN(costs[CSF_Cost_5.4b]),FALSE)</f>
        <v>210.33847057845509</v>
      </c>
      <c r="U46" s="8" cm="1">
        <f t="array" ref="U46">(data[[#This Row],[ESFBudget]]+data[[#This Row],[CSFBudget]])/(SUMIFS(data[ESFBudget],data[Year],data[[#This Row],[Year]])+SUMIFS(data[CSFBudget],data[Year],data[[#This Row],[Year]]))*VLOOKUP(data[[#This Row],[Year]],costs[#All],COLUMN(costs[HD_Budget]),FALSE)</f>
        <v>583.27890634667278</v>
      </c>
      <c r="V46" s="8" cm="1">
        <f t="array" ref="V46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811.72733935696044</v>
      </c>
      <c r="W46" s="8" cm="1">
        <f t="array" ref="W46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1219.5831678157704</v>
      </c>
      <c r="X46" s="8" cm="1">
        <f t="array" ref="X46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913.76477839459437</v>
      </c>
    </row>
    <row r="47" spans="1:24" x14ac:dyDescent="0.25">
      <c r="A47" t="str">
        <f>data[[#This Row],[Year]] &amp;"-"&amp;data[[#This Row],[State]]</f>
        <v>2024-Malta</v>
      </c>
      <c r="B47" s="2" t="s">
        <v>25</v>
      </c>
      <c r="C47">
        <v>2024</v>
      </c>
      <c r="D47" s="3">
        <v>2</v>
      </c>
      <c r="E47" s="3">
        <v>2</v>
      </c>
      <c r="F47" s="16">
        <v>2000</v>
      </c>
      <c r="G47" s="8" t="str" cm="1">
        <f t="array" ref="G47">_xlfn.IFS(ISERROR(MATCH(data[[#This Row],[UID]],CoTwo[UID],0)), "Not in CO2", ISERROR(MATCH(data[[#This Row],[UID]],gdp[UID],0)), "Not in GDP", TRUE, "")</f>
        <v/>
      </c>
      <c r="H47" s="16">
        <f>data[[#This Row],[ESFBudget]]+data[[#This Row],[CSFBudget]]+data[[#This Row],[HDBudget]]+data[[#This Row],[RFDBudget]]</f>
        <v>1519.6407970435434</v>
      </c>
      <c r="I47" s="8">
        <f>ROUND(data[[#This Row],[ESFActual]]+data[[#This Row],[CSFActual]]+data[[#This Row],[HDActual]]+data[[#This Row],[RFDActual]],2)</f>
        <v>1131.51</v>
      </c>
      <c r="J47" s="6">
        <f>VLOOKUP(data[[#This Row],[UID]],gdp[],MATCH("Year-5",gdp[#Headers],0),FALSE)+VLOOKUP(data[[#This Row],[UID]],gdp[],MATCH("Year-4",gdp[#Headers],0),FALSE)+VLOOKUP(data[[#This Row],[UID]],gdp[],MATCH("Year-3",gdp[#Headers],0),FALSE)</f>
        <v>48.671999999999997</v>
      </c>
      <c r="K47" s="17" cm="1">
        <f t="array" ref="K47">VLOOKUP(data[[#This Row],[UID]],CoTwo[#All],COLUMN(CoTwo[ESF_CO2_TONNES]),FALSE)</f>
        <v>336667.68764999998</v>
      </c>
      <c r="L47" s="7">
        <f>IF(data[[#This Row],[ESF]]=2,1,0)*(0.7*data[[#This Row],[ESFe]]/SUMIFS(data[ESFe],data[Year],data[[#This Row],[Year]],data[ESF],2)+0.3*data[[#This Row],[GDP_3Years]]/SUMIFS(data[GDP_3Years],data[Year],data[[#This Row],[Year]],data[ESF],2))</f>
        <v>4.3716935501040216E-3</v>
      </c>
      <c r="M47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4.3716935501040216E-3</v>
      </c>
      <c r="N47" s="8" cm="1">
        <f t="array" ref="N47">data[[#This Row],[ESF%Budget]]*VLOOKUP(data[[#This Row],[Year]],costs[#All],COLUMN(costs[ESF_Budget]),FALSE)</f>
        <v>419.68258080998606</v>
      </c>
      <c r="O47" s="8" cm="1">
        <f t="array" ref="O47">data[[#This Row],[ESF%Actual]]*VLOOKUP(data[[#This Row],[Year]],costs[#All],COLUMN(costs[ESF_Cost_5.4b]),FALSE)</f>
        <v>138.42018968904011</v>
      </c>
      <c r="P47" s="17" cm="1">
        <f t="array" ref="P47">VLOOKUP(data[[#This Row],[UID]],CoTwo[#All],COLUMN(CoTwo[CSF_SET_CO2_TONNES]),FALSE)</f>
        <v>377563.81929999997</v>
      </c>
      <c r="Q47" s="7">
        <f>IF(data[[#This Row],[CSF]]=2,1,0)*(0.7*data[[#This Row],[CSFe]]/SUMIFS(data[CSFe],data[Year],data[[#This Row],[Year]],data[CSF],2)+0.3*data[[#This Row],[GDP_3Years]]/SUMIFS(data[GDP_3Years],data[Year],data[[#This Row],[Year]],data[CSF],2))</f>
        <v>2.2370493692642863E-3</v>
      </c>
      <c r="R47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2.2370493692642863E-3</v>
      </c>
      <c r="S47" s="8" cm="1">
        <f t="array" ref="S47">data[[#This Row],[CSF%Budget]]*VLOOKUP(data[[#This Row],[Year]],costs[#All],COLUMN(costs[CSF_Budget]),FALSE)</f>
        <v>138.69706089438574</v>
      </c>
      <c r="T47" s="8" cm="1">
        <f t="array" ref="T47">data[[#This Row],[CSF%Actual]]*VLOOKUP(data[[#This Row],[Year]],costs[#All],COLUMN(costs[CSF_Cost_5.4b]),FALSE)</f>
        <v>42.206119633491284</v>
      </c>
      <c r="U47" s="8" cm="1">
        <f t="array" ref="U47">(data[[#This Row],[ESFBudget]]+data[[#This Row],[CSFBudget]])/(SUMIFS(data[ESFBudget],data[Year],data[[#This Row],[Year]])+SUMIFS(data[CSFBudget],data[Year],data[[#This Row],[Year]]))*VLOOKUP(data[[#This Row],[Year]],costs[#All],COLUMN(costs[HD_Budget]),FALSE)</f>
        <v>310.99625613914378</v>
      </c>
      <c r="V47" s="8" cm="1">
        <f t="array" ref="V47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447.32655267987155</v>
      </c>
      <c r="W47" s="8" cm="1">
        <f t="array" ref="W47">(data[[#This Row],[ESFBudget]]+data[[#This Row],[CSFBudget]])/(SUMIFS(data[ESFBudget],data[Year],data[[#This Row],[Year]])+SUMIFS(data[CSFBudget],data[Year],data[[#This Row],[Year]]))*VLOOKUP(data[[#This Row],[Year]],costs[#All],COLUMN(costs[RFD_Budget]),FALSE)</f>
        <v>650.26489920002791</v>
      </c>
      <c r="X47" s="8" cm="1">
        <f t="array" ref="X47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503.55732579285552</v>
      </c>
    </row>
    <row r="48" spans="1:24" x14ac:dyDescent="0.25">
      <c r="A48" t="str">
        <f>data[[#This Row],[Year]] &amp;"-"&amp;data[[#This Row],[State]]</f>
        <v>2024-Netherlands</v>
      </c>
      <c r="B48" s="2" t="s">
        <v>26</v>
      </c>
      <c r="C48">
        <v>2024</v>
      </c>
      <c r="D48" s="3">
        <v>2</v>
      </c>
      <c r="E48" s="3">
        <v>2</v>
      </c>
      <c r="F48" s="16">
        <v>33000</v>
      </c>
      <c r="G48" s="8" t="str" cm="1">
        <f t="array" ref="G48">_xlfn.IFS(ISERROR(MATCH(data[[#This Row],[UID]],CoTwo[UID],0)), "Not in CO2", ISERROR(MATCH(data[[#This Row],[UID]],gdp[UID],0)), "Not in GDP", TRUE, "")</f>
        <v/>
      </c>
      <c r="H48" s="16">
        <f>data[[#This Row],[ESFBudget]]+data[[#This Row],[CSFBudget]]+data[[#This Row],[HDBudget]]+data[[#This Row],[RFDBudget]]</f>
        <v>20795.648940658211</v>
      </c>
      <c r="I48" s="8">
        <f>ROUND(data[[#This Row],[ESFActual]]+data[[#This Row],[CSFActual]]+data[[#This Row],[HDActual]]+data[[#This Row],[RFDActual]],2)</f>
        <v>15183.1</v>
      </c>
      <c r="J48" s="6">
        <f>VLOOKUP(data[[#This Row],[UID]],gdp[],MATCH("Year-5",gdp[#Headers],0),FALSE)+VLOOKUP(data[[#This Row],[UID]],gdp[],MATCH("Year-4",gdp[#Headers],0),FALSE)+VLOOKUP(data[[#This Row],[UID]],gdp[],MATCH("Year-3",gdp[#Headers],0),FALSE)</f>
        <v>2832.88</v>
      </c>
      <c r="K48" s="17" cm="1">
        <f t="array" ref="K48">VLOOKUP(data[[#This Row],[UID]],CoTwo[#All],COLUMN(CoTwo[ESF_CO2_TONNES]),FALSE)</f>
        <v>2088507.7426499999</v>
      </c>
      <c r="L48" s="7">
        <f>IF(data[[#This Row],[ESF]]=2,1,0)*(0.7*data[[#This Row],[ESFe]]/SUMIFS(data[ESFe],data[Year],data[[#This Row],[Year]],data[ESF],2)+0.3*data[[#This Row],[GDP_3Years]]/SUMIFS(data[GDP_3Years],data[Year],data[[#This Row],[Year]],data[ESF],2))</f>
        <v>4.0200002600606466E-2</v>
      </c>
      <c r="M48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4.0200002600606466E-2</v>
      </c>
      <c r="N48" s="8" cm="1">
        <f t="array" ref="N48">data[[#This Row],[ESF%Budget]]*VLOOKUP(data[[#This Row],[Year]],costs[#All],COLUMN(costs[ESF_Budget]),FALSE)</f>
        <v>3859.2002496582209</v>
      </c>
      <c r="O48" s="8" cm="1">
        <f t="array" ref="O48">data[[#This Row],[ESF%Actual]]*VLOOKUP(data[[#This Row],[Year]],costs[#All],COLUMN(costs[ESF_Cost_5.4b]),FALSE)</f>
        <v>1272.8458483425604</v>
      </c>
      <c r="P48" s="17" cm="1">
        <f t="array" ref="P48">VLOOKUP(data[[#This Row],[UID]],CoTwo[#All],COLUMN(CoTwo[CSF_SET_CO2_TONNES]),FALSE)</f>
        <v>8815649.1642499994</v>
      </c>
      <c r="Q48" s="7">
        <f>IF(data[[#This Row],[CSF]]=2,1,0)*(0.7*data[[#This Row],[CSFe]]/SUMIFS(data[CSFe],data[Year],data[[#This Row],[Year]],data[CSF],2)+0.3*data[[#This Row],[GDP_3Years]]/SUMIFS(data[GDP_3Years],data[Year],data[[#This Row],[Year]],data[CSF],2))</f>
        <v>6.0999865914139625E-2</v>
      </c>
      <c r="R48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6.0999865914139625E-2</v>
      </c>
      <c r="S48" s="8" cm="1">
        <f t="array" ref="S48">data[[#This Row],[CSF%Budget]]*VLOOKUP(data[[#This Row],[Year]],costs[#All],COLUMN(costs[CSF_Budget]),FALSE)</f>
        <v>3781.9916866766566</v>
      </c>
      <c r="T48" s="8" cm="1">
        <f t="array" ref="T48">data[[#This Row],[CSF%Actual]]*VLOOKUP(data[[#This Row],[Year]],costs[#All],COLUMN(costs[CSF_Cost_5.4b]),FALSE)</f>
        <v>1150.8765402195033</v>
      </c>
      <c r="U48" s="8" cm="1">
        <f t="array" ref="U48">(data[[#This Row],[ESFBudget]]+data[[#This Row],[CSFBudget]])/(SUMIFS(data[ESFBudget],data[Year],data[[#This Row],[Year]])+SUMIFS(data[CSFBudget],data[Year],data[[#This Row],[Year]]))*VLOOKUP(data[[#This Row],[Year]],costs[#All],COLUMN(costs[HD_Budget]),FALSE)</f>
        <v>4255.8537366928431</v>
      </c>
      <c r="V48" s="8" cm="1">
        <f t="array" ref="V48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6002.4222650340625</v>
      </c>
      <c r="W48" s="8" cm="1">
        <f t="array" ref="W48">(data[[#This Row],[ESFBudget]]+data[[#This Row],[CSFBudget]])/(SUMIFS(data[ESFBudget],data[Year],data[[#This Row],[Year]])+SUMIFS(data[CSFBudget],data[Year],data[[#This Row],[Year]]))*VLOOKUP(data[[#This Row],[Year]],costs[#All],COLUMN(costs[RFD_Budget]),FALSE)</f>
        <v>8898.6032676304894</v>
      </c>
      <c r="X48" s="8" cm="1">
        <f t="array" ref="X48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6756.9512383118899</v>
      </c>
    </row>
    <row r="49" spans="1:24" x14ac:dyDescent="0.25">
      <c r="A49" t="str">
        <f>data[[#This Row],[Year]] &amp;"-"&amp;data[[#This Row],[State]]</f>
        <v>2024-Norway</v>
      </c>
      <c r="B49" s="2" t="s">
        <v>27</v>
      </c>
      <c r="C49">
        <v>2024</v>
      </c>
      <c r="D49" s="3">
        <v>2</v>
      </c>
      <c r="E49" s="3">
        <v>2</v>
      </c>
      <c r="F49" s="16">
        <v>12000</v>
      </c>
      <c r="G49" s="8" t="str" cm="1">
        <f t="array" ref="G49">_xlfn.IFS(ISERROR(MATCH(data[[#This Row],[UID]],CoTwo[UID],0)), "Not in CO2", ISERROR(MATCH(data[[#This Row],[UID]],gdp[UID],0)), "Not in GDP", TRUE, "")</f>
        <v/>
      </c>
      <c r="H49" s="16">
        <f>data[[#This Row],[ESFBudget]]+data[[#This Row],[CSFBudget]]+data[[#This Row],[HDBudget]]+data[[#This Row],[RFDBudget]]</f>
        <v>10130.121512410471</v>
      </c>
      <c r="I49" s="8">
        <f>ROUND(data[[#This Row],[ESFActual]]+data[[#This Row],[CSFActual]]+data[[#This Row],[HDActual]]+data[[#This Row],[RFDActual]],2)</f>
        <v>7548.03</v>
      </c>
      <c r="J49" s="6">
        <f>VLOOKUP(data[[#This Row],[UID]],gdp[],MATCH("Year-5",gdp[#Headers],0),FALSE)+VLOOKUP(data[[#This Row],[UID]],gdp[],MATCH("Year-4",gdp[#Headers],0),FALSE)+VLOOKUP(data[[#This Row],[UID]],gdp[],MATCH("Year-3",gdp[#Headers],0),FALSE)</f>
        <v>1266.6689999999999</v>
      </c>
      <c r="K49" s="17" cm="1">
        <f t="array" ref="K49">VLOOKUP(data[[#This Row],[UID]],CoTwo[#All],COLUMN(CoTwo[ESF_CO2_TONNES]),FALSE)</f>
        <v>1874259.5759999999</v>
      </c>
      <c r="L49" s="7">
        <f>IF(data[[#This Row],[ESF]]=2,1,0)*(0.7*data[[#This Row],[ESFe]]/SUMIFS(data[ESFe],data[Year],data[[#This Row],[Year]],data[ESF],2)+0.3*data[[#This Row],[GDP_3Years]]/SUMIFS(data[GDP_3Years],data[Year],data[[#This Row],[Year]],data[ESF],2))</f>
        <v>2.9483593745696215E-2</v>
      </c>
      <c r="M49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2.9483593745696215E-2</v>
      </c>
      <c r="N49" s="8" cm="1">
        <f t="array" ref="N49">data[[#This Row],[ESF%Budget]]*VLOOKUP(data[[#This Row],[Year]],costs[#All],COLUMN(costs[ESF_Budget]),FALSE)</f>
        <v>2830.4249995868367</v>
      </c>
      <c r="O49" s="8" cm="1">
        <f t="array" ref="O49">data[[#This Row],[ESF%Actual]]*VLOOKUP(data[[#This Row],[Year]],costs[#All],COLUMN(costs[ESF_Cost_5.4b]),FALSE)</f>
        <v>933.53401655904258</v>
      </c>
      <c r="P49" s="17" cm="1">
        <f t="array" ref="P49">VLOOKUP(data[[#This Row],[UID]],CoTwo[#All],COLUMN(CoTwo[CSF_SET_CO2_TONNES]),FALSE)</f>
        <v>1490401.1967499999</v>
      </c>
      <c r="Q49" s="7">
        <f>IF(data[[#This Row],[CSF]]=2,1,0)*(0.7*data[[#This Row],[CSFe]]/SUMIFS(data[CSFe],data[Year],data[[#This Row],[Year]],data[CSF],2)+0.3*data[[#This Row],[GDP_3Years]]/SUMIFS(data[GDP_3Years],data[Year],data[[#This Row],[Year]],data[CSF],2))</f>
        <v>1.4383962833402642E-2</v>
      </c>
      <c r="R49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1.4383962833402642E-2</v>
      </c>
      <c r="S49" s="8" cm="1">
        <f t="array" ref="S49">data[[#This Row],[CSF%Budget]]*VLOOKUP(data[[#This Row],[Year]],costs[#All],COLUMN(costs[CSF_Budget]),FALSE)</f>
        <v>891.80569567096381</v>
      </c>
      <c r="T49" s="8" cm="1">
        <f t="array" ref="T49">data[[#This Row],[CSF%Actual]]*VLOOKUP(data[[#This Row],[Year]],costs[#All],COLUMN(costs[CSF_Cost_5.4b]),FALSE)</f>
        <v>271.3803568626393</v>
      </c>
      <c r="U49" s="8" cm="1">
        <f t="array" ref="U49">(data[[#This Row],[ESFBudget]]+data[[#This Row],[CSFBudget]])/(SUMIFS(data[ESFBudget],data[Year],data[[#This Row],[Year]])+SUMIFS(data[CSFBudget],data[Year],data[[#This Row],[Year]]))*VLOOKUP(data[[#This Row],[Year]],costs[#All],COLUMN(costs[HD_Budget]),FALSE)</f>
        <v>2073.1411467258636</v>
      </c>
      <c r="V49" s="8" cm="1">
        <f t="array" ref="V49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2984.0071192215551</v>
      </c>
      <c r="W49" s="8" cm="1">
        <f t="array" ref="W49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4334.749670426806</v>
      </c>
      <c r="X49" s="8" cm="1">
        <f t="array" ref="X49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3359.1089911834388</v>
      </c>
    </row>
    <row r="50" spans="1:24" x14ac:dyDescent="0.25">
      <c r="A50" t="str">
        <f>data[[#This Row],[Year]] &amp;"-"&amp;data[[#This Row],[State]]</f>
        <v>2024-Portugal</v>
      </c>
      <c r="B50" s="2" t="s">
        <v>28</v>
      </c>
      <c r="C50">
        <v>2024</v>
      </c>
      <c r="D50" s="3">
        <v>2</v>
      </c>
      <c r="E50" s="3">
        <v>2</v>
      </c>
      <c r="F50" s="16">
        <v>16000</v>
      </c>
      <c r="G50" s="8" t="str" cm="1">
        <f t="array" ref="G50">_xlfn.IFS(ISERROR(MATCH(data[[#This Row],[UID]],CoTwo[UID],0)), "Not in CO2", ISERROR(MATCH(data[[#This Row],[UID]],gdp[UID],0)), "Not in GDP", TRUE, "")</f>
        <v/>
      </c>
      <c r="H50" s="16">
        <f>data[[#This Row],[ESFBudget]]+data[[#This Row],[CSFBudget]]+data[[#This Row],[HDBudget]]+data[[#This Row],[RFDBudget]]</f>
        <v>12603.812067821837</v>
      </c>
      <c r="I50" s="8">
        <f>ROUND(data[[#This Row],[ESFActual]]+data[[#This Row],[CSFActual]]+data[[#This Row],[HDActual]]+data[[#This Row],[RFDActual]],2)</f>
        <v>9312.9599999999991</v>
      </c>
      <c r="J50" s="6">
        <f>VLOOKUP(data[[#This Row],[UID]],gdp[],MATCH("Year-5",gdp[#Headers],0),FALSE)+VLOOKUP(data[[#This Row],[UID]],gdp[],MATCH("Year-4",gdp[#Headers],0),FALSE)+VLOOKUP(data[[#This Row],[UID]],gdp[],MATCH("Year-3",gdp[#Headers],0),FALSE)</f>
        <v>723.0139999999999</v>
      </c>
      <c r="K50" s="17" cm="1">
        <f t="array" ref="K50">VLOOKUP(data[[#This Row],[UID]],CoTwo[#All],COLUMN(CoTwo[ESF_CO2_TONNES]),FALSE)</f>
        <v>2275539.8462999999</v>
      </c>
      <c r="L50" s="7">
        <f>IF(data[[#This Row],[ESF]]=2,1,0)*(0.7*data[[#This Row],[ESFe]]/SUMIFS(data[ESFe],data[Year],data[[#This Row],[Year]],data[ESF],2)+0.3*data[[#This Row],[GDP_3Years]]/SUMIFS(data[GDP_3Years],data[Year],data[[#This Row],[Year]],data[ESF],2))</f>
        <v>3.1584775444137542E-2</v>
      </c>
      <c r="M50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3.1584775444137542E-2</v>
      </c>
      <c r="N50" s="8" cm="1">
        <f t="array" ref="N50">data[[#This Row],[ESF%Budget]]*VLOOKUP(data[[#This Row],[Year]],costs[#All],COLUMN(costs[ESF_Budget]),FALSE)</f>
        <v>3032.1384426372042</v>
      </c>
      <c r="O50" s="8" cm="1">
        <f t="array" ref="O50">data[[#This Row],[ESF%Actual]]*VLOOKUP(data[[#This Row],[Year]],costs[#All],COLUMN(costs[ESF_Cost_5.4b]),FALSE)</f>
        <v>1000.0633754759016</v>
      </c>
      <c r="P50" s="17" cm="1">
        <f t="array" ref="P50">VLOOKUP(data[[#This Row],[UID]],CoTwo[#All],COLUMN(CoTwo[CSF_SET_CO2_TONNES]),FALSE)</f>
        <v>4193819.7765000002</v>
      </c>
      <c r="Q50" s="7">
        <f>IF(data[[#This Row],[CSF]]=2,1,0)*(0.7*data[[#This Row],[CSFe]]/SUMIFS(data[CSFe],data[Year],data[[#This Row],[Year]],data[CSF],2)+0.3*data[[#This Row],[GDP_3Years]]/SUMIFS(data[GDP_3Years],data[Year],data[[#This Row],[Year]],data[CSF],2))</f>
        <v>2.579080181477315E-2</v>
      </c>
      <c r="R50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2.579080181477315E-2</v>
      </c>
      <c r="S50" s="8" cm="1">
        <f t="array" ref="S50">data[[#This Row],[CSF%Budget]]*VLOOKUP(data[[#This Row],[Year]],costs[#All],COLUMN(costs[CSF_Budget]),FALSE)</f>
        <v>1599.0297125159352</v>
      </c>
      <c r="T50" s="8" cm="1">
        <f t="array" ref="T50">data[[#This Row],[CSF%Actual]]*VLOOKUP(data[[#This Row],[Year]],costs[#All],COLUMN(costs[CSF_Cost_5.4b]),FALSE)</f>
        <v>486.59170503508909</v>
      </c>
      <c r="U50" s="8" cm="1">
        <f t="array" ref="U50">(data[[#This Row],[ESFBudget]]+data[[#This Row],[CSFBudget]])/(SUMIFS(data[ESFBudget],data[Year],data[[#This Row],[Year]])+SUMIFS(data[CSFBudget],data[Year],data[[#This Row],[Year]]))*VLOOKUP(data[[#This Row],[Year]],costs[#All],COLUMN(costs[HD_Budget]),FALSE)</f>
        <v>2579.3847952751662</v>
      </c>
      <c r="V50" s="8" cm="1">
        <f t="array" ref="V50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3681.7465555447934</v>
      </c>
      <c r="W50" s="8" cm="1">
        <f t="array" ref="W50">(data[[#This Row],[ESFBudget]]+data[[#This Row],[CSFBudget]])/(SUMIFS(data[ESFBudget],data[Year],data[[#This Row],[Year]])+SUMIFS(data[CSFBudget],data[Year],data[[#This Row],[Year]]))*VLOOKUP(data[[#This Row],[Year]],costs[#All],COLUMN(costs[RFD_Budget]),FALSE)</f>
        <v>5393.2591173935298</v>
      </c>
      <c r="X50" s="8" cm="1">
        <f t="array" ref="X50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4144.5571219734493</v>
      </c>
    </row>
    <row r="51" spans="1:24" x14ac:dyDescent="0.25">
      <c r="A51" t="str">
        <f>data[[#This Row],[Year]] &amp;"-"&amp;data[[#This Row],[State]]</f>
        <v>2024-Romania</v>
      </c>
      <c r="B51" s="2" t="s">
        <v>29</v>
      </c>
      <c r="C51">
        <v>2024</v>
      </c>
      <c r="D51" s="3">
        <v>2</v>
      </c>
      <c r="E51" s="3">
        <v>2</v>
      </c>
      <c r="F51" s="16">
        <v>9000</v>
      </c>
      <c r="G51" s="8" t="str" cm="1">
        <f t="array" ref="G51">_xlfn.IFS(ISERROR(MATCH(data[[#This Row],[UID]],CoTwo[UID],0)), "Not in CO2", ISERROR(MATCH(data[[#This Row],[UID]],gdp[UID],0)), "Not in GDP", TRUE, "")</f>
        <v/>
      </c>
      <c r="H51" s="16">
        <f>data[[#This Row],[ESFBudget]]+data[[#This Row],[CSFBudget]]+data[[#This Row],[HDBudget]]+data[[#This Row],[RFDBudget]]</f>
        <v>6113.5885551302617</v>
      </c>
      <c r="I51" s="8">
        <f>ROUND(data[[#This Row],[ESFActual]]+data[[#This Row],[CSFActual]]+data[[#This Row],[HDActual]]+data[[#This Row],[RFDActual]],2)</f>
        <v>4538.88</v>
      </c>
      <c r="J51" s="6">
        <f>VLOOKUP(data[[#This Row],[UID]],gdp[],MATCH("Year-5",gdp[#Headers],0),FALSE)+VLOOKUP(data[[#This Row],[UID]],gdp[],MATCH("Year-4",gdp[#Headers],0),FALSE)+VLOOKUP(data[[#This Row],[UID]],gdp[],MATCH("Year-3",gdp[#Headers],0),FALSE)</f>
        <v>788.30099999999993</v>
      </c>
      <c r="K51" s="17" cm="1">
        <f t="array" ref="K51">VLOOKUP(data[[#This Row],[UID]],CoTwo[#All],COLUMN(CoTwo[ESF_CO2_TONNES]),FALSE)</f>
        <v>1033713.30195</v>
      </c>
      <c r="L51" s="7">
        <f>IF(data[[#This Row],[ESF]]=2,1,0)*(0.7*data[[#This Row],[ESFe]]/SUMIFS(data[ESFe],data[Year],data[[#This Row],[Year]],data[ESF],2)+0.3*data[[#This Row],[GDP_3Years]]/SUMIFS(data[GDP_3Years],data[Year],data[[#This Row],[Year]],data[ESF],2))</f>
        <v>1.6724680787479011E-2</v>
      </c>
      <c r="M51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1.6724680787479011E-2</v>
      </c>
      <c r="N51" s="8" cm="1">
        <f t="array" ref="N51">data[[#This Row],[ESF%Budget]]*VLOOKUP(data[[#This Row],[Year]],costs[#All],COLUMN(costs[ESF_Budget]),FALSE)</f>
        <v>1605.5693555979851</v>
      </c>
      <c r="O51" s="8" cm="1">
        <f t="array" ref="O51">data[[#This Row],[ESF%Actual]]*VLOOKUP(data[[#This Row],[Year]],costs[#All],COLUMN(costs[ESF_Cost_5.4b]),FALSE)</f>
        <v>529.55072457821404</v>
      </c>
      <c r="P51" s="17" cm="1">
        <f t="array" ref="P51">VLOOKUP(data[[#This Row],[UID]],CoTwo[#All],COLUMN(CoTwo[CSF_SET_CO2_TONNES]),FALSE)</f>
        <v>1190729.9697499999</v>
      </c>
      <c r="Q51" s="7">
        <f>IF(data[[#This Row],[CSF]]=2,1,0)*(0.7*data[[#This Row],[CSFe]]/SUMIFS(data[CSFe],data[Year],data[[#This Row],[Year]],data[CSF],2)+0.3*data[[#This Row],[GDP_3Years]]/SUMIFS(data[GDP_3Years],data[Year],data[[#This Row],[Year]],data[CSF],2))</f>
        <v>1.0335790277698712E-2</v>
      </c>
      <c r="R51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1.0335790277698712E-2</v>
      </c>
      <c r="S51" s="8" cm="1">
        <f t="array" ref="S51">data[[#This Row],[CSF%Budget]]*VLOOKUP(data[[#This Row],[Year]],costs[#All],COLUMN(costs[CSF_Budget]),FALSE)</f>
        <v>640.8189972173202</v>
      </c>
      <c r="T51" s="8" cm="1">
        <f t="array" ref="T51">data[[#This Row],[CSF%Actual]]*VLOOKUP(data[[#This Row],[Year]],costs[#All],COLUMN(costs[CSF_Cost_5.4b]),FALSE)</f>
        <v>195.00401151660549</v>
      </c>
      <c r="U51" s="8" cm="1">
        <f t="array" ref="U51">(data[[#This Row],[ESFBudget]]+data[[#This Row],[CSFBudget]])/(SUMIFS(data[ESFBudget],data[Year],data[[#This Row],[Year]])+SUMIFS(data[CSFBudget],data[Year],data[[#This Row],[Year]]))*VLOOKUP(data[[#This Row],[Year]],costs[#All],COLUMN(costs[HD_Budget]),FALSE)</f>
        <v>1251.1530066313094</v>
      </c>
      <c r="V51" s="8" cm="1">
        <f t="array" ref="V51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1794.3818568889942</v>
      </c>
      <c r="W51" s="8" cm="1">
        <f t="array" ref="W51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2616.0471956836468</v>
      </c>
      <c r="X51" s="8" cm="1">
        <f t="array" ref="X51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2019.9429787770312</v>
      </c>
    </row>
    <row r="52" spans="1:24" x14ac:dyDescent="0.25">
      <c r="A52" t="str">
        <f>data[[#This Row],[Year]] &amp;"-"&amp;data[[#This Row],[State]]</f>
        <v>2024-Slovakia</v>
      </c>
      <c r="B52" s="2" t="s">
        <v>80</v>
      </c>
      <c r="C52">
        <v>2024</v>
      </c>
      <c r="D52" s="3">
        <v>2</v>
      </c>
      <c r="E52" s="3">
        <v>2</v>
      </c>
      <c r="F52" s="16">
        <v>2000</v>
      </c>
      <c r="G52" s="8" t="str" cm="1">
        <f t="array" ref="G52">_xlfn.IFS(ISERROR(MATCH(data[[#This Row],[UID]],CoTwo[UID],0)), "Not in CO2", ISERROR(MATCH(data[[#This Row],[UID]],gdp[UID],0)), "Not in GDP", TRUE, "")</f>
        <v/>
      </c>
      <c r="H52" s="16">
        <f>data[[#This Row],[ESFBudget]]+data[[#This Row],[CSFBudget]]+data[[#This Row],[HDBudget]]+data[[#This Row],[RFDBudget]]</f>
        <v>1113.0442617344484</v>
      </c>
      <c r="I52" s="8">
        <f>ROUND(data[[#This Row],[ESFActual]]+data[[#This Row],[CSFActual]]+data[[#This Row],[HDActual]]+data[[#This Row],[RFDActual]],2)</f>
        <v>821.52</v>
      </c>
      <c r="J52" s="6">
        <f>VLOOKUP(data[[#This Row],[UID]],gdp[],MATCH("Year-5",gdp[#Headers],0),FALSE)+VLOOKUP(data[[#This Row],[UID]],gdp[],MATCH("Year-4",gdp[#Headers],0),FALSE)+VLOOKUP(data[[#This Row],[UID]],gdp[],MATCH("Year-3",gdp[#Headers],0),FALSE)</f>
        <v>328.94800000000004</v>
      </c>
      <c r="K52" s="17" cm="1">
        <f t="array" ref="K52">VLOOKUP(data[[#This Row],[UID]],CoTwo[#All],COLUMN(CoTwo[ESF_CO2_TONNES]),FALSE)</f>
        <v>84148.410149999996</v>
      </c>
      <c r="L52" s="7">
        <f>IF(data[[#This Row],[ESF]]=2,1,0)*(0.7*data[[#This Row],[ESFe]]/SUMIFS(data[ESFe],data[Year],data[[#This Row],[Year]],data[ESF],2)+0.3*data[[#This Row],[GDP_3Years]]/SUMIFS(data[GDP_3Years],data[Year],data[[#This Row],[Year]],data[ESF],2))</f>
        <v>2.7298675085553302E-3</v>
      </c>
      <c r="M52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2.7298675085553302E-3</v>
      </c>
      <c r="N52" s="8" cm="1">
        <f t="array" ref="N52">data[[#This Row],[ESF%Budget]]*VLOOKUP(data[[#This Row],[Year]],costs[#All],COLUMN(costs[ESF_Budget]),FALSE)</f>
        <v>262.06728082131173</v>
      </c>
      <c r="O52" s="8" cm="1">
        <f t="array" ref="O52">data[[#This Row],[ESF%Actual]]*VLOOKUP(data[[#This Row],[Year]],costs[#All],COLUMN(costs[ESF_Cost_5.4b]),FALSE)</f>
        <v>86.435330845910968</v>
      </c>
      <c r="P52" s="17" cm="1">
        <f t="array" ref="P52">VLOOKUP(data[[#This Row],[UID]],CoTwo[#All],COLUMN(CoTwo[CSF_SET_CO2_TONNES]),FALSE)</f>
        <v>127309.9041</v>
      </c>
      <c r="Q52" s="7">
        <f>IF(data[[#This Row],[CSF]]=2,1,0)*(0.7*data[[#This Row],[CSFe]]/SUMIFS(data[CSFe],data[Year],data[[#This Row],[Year]],data[CSF],2)+0.3*data[[#This Row],[GDP_3Years]]/SUMIFS(data[GDP_3Years],data[Year],data[[#This Row],[Year]],data[CSF],2))</f>
        <v>2.3695447337163844E-3</v>
      </c>
      <c r="R52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2.3695447337163844E-3</v>
      </c>
      <c r="S52" s="8" cm="1">
        <f t="array" ref="S52">data[[#This Row],[CSF%Budget]]*VLOOKUP(data[[#This Row],[Year]],costs[#All],COLUMN(costs[CSF_Budget]),FALSE)</f>
        <v>146.91177349041584</v>
      </c>
      <c r="T52" s="8" cm="1">
        <f t="array" ref="T52">data[[#This Row],[CSF%Actual]]*VLOOKUP(data[[#This Row],[Year]],costs[#All],COLUMN(costs[CSF_Cost_5.4b]),FALSE)</f>
        <v>44.705892450211643</v>
      </c>
      <c r="U52" s="8" cm="1">
        <f t="array" ref="U52">(data[[#This Row],[ESFBudget]]+data[[#This Row],[CSFBudget]])/(SUMIFS(data[ESFBudget],data[Year],data[[#This Row],[Year]])+SUMIFS(data[CSFBudget],data[Year],data[[#This Row],[Year]]))*VLOOKUP(data[[#This Row],[Year]],costs[#All],COLUMN(costs[HD_Budget]),FALSE)</f>
        <v>227.78580240146852</v>
      </c>
      <c r="V52" s="8" cm="1">
        <f t="array" ref="V52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324.77523097992093</v>
      </c>
      <c r="W52" s="8" cm="1">
        <f t="array" ref="W52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476.27940502125233</v>
      </c>
      <c r="X52" s="8" cm="1">
        <f t="array" ref="X52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365.60080285027294</v>
      </c>
    </row>
    <row r="53" spans="1:24" x14ac:dyDescent="0.25">
      <c r="A53" t="str">
        <f>data[[#This Row],[Year]] &amp;"-"&amp;data[[#This Row],[State]]</f>
        <v>2024-Slovenia</v>
      </c>
      <c r="B53" s="2" t="s">
        <v>31</v>
      </c>
      <c r="C53">
        <v>2024</v>
      </c>
      <c r="D53" s="3">
        <v>2</v>
      </c>
      <c r="E53" s="3">
        <v>2</v>
      </c>
      <c r="F53" s="16">
        <v>1000</v>
      </c>
      <c r="G53" s="8" t="str" cm="1">
        <f t="array" ref="G53">_xlfn.IFS(ISERROR(MATCH(data[[#This Row],[UID]],CoTwo[UID],0)), "Not in CO2", ISERROR(MATCH(data[[#This Row],[UID]],gdp[UID],0)), "Not in GDP", TRUE, "")</f>
        <v/>
      </c>
      <c r="H53" s="16">
        <f>data[[#This Row],[ESFBudget]]+data[[#This Row],[CSFBudget]]+data[[#This Row],[HDBudget]]+data[[#This Row],[RFDBudget]]</f>
        <v>574.25468306486334</v>
      </c>
      <c r="I53" s="8">
        <f>ROUND(data[[#This Row],[ESFActual]]+data[[#This Row],[CSFActual]]+data[[#This Row],[HDActual]]+data[[#This Row],[RFDActual]],2)</f>
        <v>423.44</v>
      </c>
      <c r="J53" s="6">
        <f>VLOOKUP(data[[#This Row],[UID]],gdp[],MATCH("Year-5",gdp[#Headers],0),FALSE)+VLOOKUP(data[[#This Row],[UID]],gdp[],MATCH("Year-4",gdp[#Headers],0),FALSE)+VLOOKUP(data[[#This Row],[UID]],gdp[],MATCH("Year-3",gdp[#Headers],0),FALSE)</f>
        <v>169.792</v>
      </c>
      <c r="K53" s="17" cm="1">
        <f t="array" ref="K53">VLOOKUP(data[[#This Row],[UID]],CoTwo[#All],COLUMN(CoTwo[ESF_CO2_TONNES]),FALSE)</f>
        <v>41235.289199999999</v>
      </c>
      <c r="L53" s="7">
        <f>IF(data[[#This Row],[ESF]]=2,1,0)*(0.7*data[[#This Row],[ESFe]]/SUMIFS(data[ESFe],data[Year],data[[#This Row],[Year]],data[ESF],2)+0.3*data[[#This Row],[GDP_3Years]]/SUMIFS(data[GDP_3Years],data[Year],data[[#This Row],[Year]],data[ESF],2))</f>
        <v>1.3821513686998873E-3</v>
      </c>
      <c r="M53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1.3821513686998873E-3</v>
      </c>
      <c r="N53" s="8" cm="1">
        <f t="array" ref="N53">data[[#This Row],[ESF%Budget]]*VLOOKUP(data[[#This Row],[Year]],costs[#All],COLUMN(costs[ESF_Budget]),FALSE)</f>
        <v>132.68653139518918</v>
      </c>
      <c r="O53" s="8" cm="1">
        <f t="array" ref="O53">data[[#This Row],[ESF%Actual]]*VLOOKUP(data[[#This Row],[Year]],costs[#All],COLUMN(costs[ESF_Cost_5.4b]),FALSE)</f>
        <v>43.762823821411857</v>
      </c>
      <c r="P53" s="17" cm="1">
        <f t="array" ref="P53">VLOOKUP(data[[#This Row],[UID]],CoTwo[#All],COLUMN(CoTwo[CSF_SET_CO2_TONNES]),FALSE)</f>
        <v>73343.196949999998</v>
      </c>
      <c r="Q53" s="7">
        <f>IF(data[[#This Row],[CSF]]=2,1,0)*(0.7*data[[#This Row],[CSFe]]/SUMIFS(data[CSFe],data[Year],data[[#This Row],[Year]],data[CSF],2)+0.3*data[[#This Row],[GDP_3Years]]/SUMIFS(data[GDP_3Years],data[Year],data[[#This Row],[Year]],data[CSF],2))</f>
        <v>1.2632044795317728E-3</v>
      </c>
      <c r="R53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1.2632044795317728E-3</v>
      </c>
      <c r="S53" s="8" cm="1">
        <f t="array" ref="S53">data[[#This Row],[CSF%Budget]]*VLOOKUP(data[[#This Row],[Year]],costs[#All],COLUMN(costs[CSF_Budget]),FALSE)</f>
        <v>78.31867773096991</v>
      </c>
      <c r="T53" s="8" cm="1">
        <f t="array" ref="T53">data[[#This Row],[CSF%Actual]]*VLOOKUP(data[[#This Row],[Year]],costs[#All],COLUMN(costs[CSF_Cost_5.4b]),FALSE)</f>
        <v>23.832714698743615</v>
      </c>
      <c r="U53" s="8" cm="1">
        <f t="array" ref="U53">(data[[#This Row],[ESFBudget]]+data[[#This Row],[CSFBudget]])/(SUMIFS(data[ESFBudget],data[Year],data[[#This Row],[Year]])+SUMIFS(data[CSFBudget],data[Year],data[[#This Row],[Year]]))*VLOOKUP(data[[#This Row],[Year]],costs[#All],COLUMN(costs[HD_Budget]),FALSE)</f>
        <v>117.52188862722785</v>
      </c>
      <c r="V53" s="8" cm="1">
        <f t="array" ref="V53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167.4024085205001</v>
      </c>
      <c r="W53" s="8" cm="1">
        <f t="array" ref="W53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245.72758531147642</v>
      </c>
      <c r="X53" s="8" cm="1">
        <f t="array" ref="X53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188.44557440388061</v>
      </c>
    </row>
    <row r="54" spans="1:24" x14ac:dyDescent="0.25">
      <c r="A54" t="str">
        <f>data[[#This Row],[Year]] &amp;"-"&amp;data[[#This Row],[State]]</f>
        <v>2024-Spain</v>
      </c>
      <c r="B54" s="2" t="s">
        <v>32</v>
      </c>
      <c r="C54">
        <v>2024</v>
      </c>
      <c r="D54" s="3">
        <v>2</v>
      </c>
      <c r="E54" s="3">
        <v>2</v>
      </c>
      <c r="F54" s="16">
        <v>60000</v>
      </c>
      <c r="G54" s="8" t="str" cm="1">
        <f t="array" ref="G54">_xlfn.IFS(ISERROR(MATCH(data[[#This Row],[UID]],CoTwo[UID],0)), "Not in CO2", ISERROR(MATCH(data[[#This Row],[UID]],gdp[UID],0)), "Not in GDP", TRUE, "")</f>
        <v/>
      </c>
      <c r="H54" s="16">
        <f>data[[#This Row],[ESFBudget]]+data[[#This Row],[CSFBudget]]+data[[#This Row],[HDBudget]]+data[[#This Row],[RFDBudget]]</f>
        <v>49048.950850339032</v>
      </c>
      <c r="I54" s="8">
        <f>ROUND(data[[#This Row],[ESFActual]]+data[[#This Row],[CSFActual]]+data[[#This Row],[HDActual]]+data[[#This Row],[RFDActual]],2)</f>
        <v>36232.44</v>
      </c>
      <c r="J54" s="6">
        <f>VLOOKUP(data[[#This Row],[UID]],gdp[],MATCH("Year-5",gdp[#Headers],0),FALSE)+VLOOKUP(data[[#This Row],[UID]],gdp[],MATCH("Year-4",gdp[#Headers],0),FALSE)+VLOOKUP(data[[#This Row],[UID]],gdp[],MATCH("Year-3",gdp[#Headers],0),FALSE)</f>
        <v>4098.7449999999999</v>
      </c>
      <c r="K54" s="17" cm="1">
        <f t="array" ref="K54">VLOOKUP(data[[#This Row],[UID]],CoTwo[#All],COLUMN(CoTwo[ESF_CO2_TONNES]),FALSE)</f>
        <v>8260405.5397500005</v>
      </c>
      <c r="L54" s="7">
        <f>IF(data[[#This Row],[ESF]]=2,1,0)*(0.7*data[[#This Row],[ESFe]]/SUMIFS(data[ESFe],data[Year],data[[#This Row],[Year]],data[ESF],2)+0.3*data[[#This Row],[GDP_3Years]]/SUMIFS(data[GDP_3Years],data[Year],data[[#This Row],[Year]],data[ESF],2))</f>
        <v>0.12227405973024361</v>
      </c>
      <c r="M54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0.12227405973024361</v>
      </c>
      <c r="N54" s="8" cm="1">
        <f t="array" ref="N54">data[[#This Row],[ESF%Budget]]*VLOOKUP(data[[#This Row],[Year]],costs[#All],COLUMN(costs[ESF_Budget]),FALSE)</f>
        <v>11738.309734103386</v>
      </c>
      <c r="O54" s="8" cm="1">
        <f t="array" ref="O54">data[[#This Row],[ESF%Actual]]*VLOOKUP(data[[#This Row],[Year]],costs[#All],COLUMN(costs[ESF_Cost_5.4b]),FALSE)</f>
        <v>3871.5427666485493</v>
      </c>
      <c r="P54" s="17" cm="1">
        <f t="array" ref="P54">VLOOKUP(data[[#This Row],[UID]],CoTwo[#All],COLUMN(CoTwo[CSF_SET_CO2_TONNES]),FALSE)</f>
        <v>15246497.447799999</v>
      </c>
      <c r="Q54" s="7">
        <f>IF(data[[#This Row],[CSF]]=2,1,0)*(0.7*data[[#This Row],[CSFe]]/SUMIFS(data[CSFe],data[Year],data[[#This Row],[Year]],data[CSF],2)+0.3*data[[#This Row],[GDP_3Years]]/SUMIFS(data[GDP_3Years],data[Year],data[[#This Row],[Year]],data[CSF],2))</f>
        <v>0.10136012935818123</v>
      </c>
      <c r="R54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0.10136012935818123</v>
      </c>
      <c r="S54" s="8" cm="1">
        <f t="array" ref="S54">data[[#This Row],[CSF%Budget]]*VLOOKUP(data[[#This Row],[Year]],costs[#All],COLUMN(costs[CSF_Budget]),FALSE)</f>
        <v>6284.3280202072365</v>
      </c>
      <c r="T54" s="8" cm="1">
        <f t="array" ref="T54">data[[#This Row],[CSF%Actual]]*VLOOKUP(data[[#This Row],[Year]],costs[#All],COLUMN(costs[CSF_Cost_5.4b]),FALSE)</f>
        <v>1912.3483837839885</v>
      </c>
      <c r="U54" s="8" cm="1">
        <f t="array" ref="U54">(data[[#This Row],[ESFBudget]]+data[[#This Row],[CSFBudget]])/(SUMIFS(data[ESFBudget],data[Year],data[[#This Row],[Year]])+SUMIFS(data[CSFBudget],data[Year],data[[#This Row],[Year]]))*VLOOKUP(data[[#This Row],[Year]],costs[#All],COLUMN(costs[HD_Budget]),FALSE)</f>
        <v>10037.924825185662</v>
      </c>
      <c r="V54" s="8" cm="1">
        <f t="array" ref="V54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14323.982475768076</v>
      </c>
      <c r="W54" s="8" cm="1">
        <f t="array" ref="W54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20988.388270842748</v>
      </c>
      <c r="X54" s="8" cm="1">
        <f t="array" ref="X54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16124.56552598931</v>
      </c>
    </row>
    <row r="55" spans="1:24" x14ac:dyDescent="0.25">
      <c r="A55" t="str">
        <f>data[[#This Row],[Year]] &amp;"-"&amp;data[[#This Row],[State]]</f>
        <v>2024-Sweden</v>
      </c>
      <c r="B55" s="2" t="s">
        <v>33</v>
      </c>
      <c r="C55">
        <v>2024</v>
      </c>
      <c r="D55" s="3">
        <v>2</v>
      </c>
      <c r="E55" s="3">
        <v>2</v>
      </c>
      <c r="F55" s="16">
        <v>12000</v>
      </c>
      <c r="G55" s="8" t="str" cm="1">
        <f t="array" ref="G55">_xlfn.IFS(ISERROR(MATCH(data[[#This Row],[UID]],CoTwo[UID],0)), "Not in CO2", ISERROR(MATCH(data[[#This Row],[UID]],gdp[UID],0)), "Not in GDP", TRUE, "")</f>
        <v/>
      </c>
      <c r="H55" s="16">
        <f>data[[#This Row],[ESFBudget]]+data[[#This Row],[CSFBudget]]+data[[#This Row],[HDBudget]]+data[[#This Row],[RFDBudget]]</f>
        <v>9770.7292754499795</v>
      </c>
      <c r="I55" s="8">
        <f>ROUND(data[[#This Row],[ESFActual]]+data[[#This Row],[CSFActual]]+data[[#This Row],[HDActual]]+data[[#This Row],[RFDActual]],2)</f>
        <v>7236.25</v>
      </c>
      <c r="J55" s="6">
        <f>VLOOKUP(data[[#This Row],[UID]],gdp[],MATCH("Year-5",gdp[#Headers],0),FALSE)+VLOOKUP(data[[#This Row],[UID]],gdp[],MATCH("Year-4",gdp[#Headers],0),FALSE)+VLOOKUP(data[[#This Row],[UID]],gdp[],MATCH("Year-3",gdp[#Headers],0),FALSE)</f>
        <v>1717.79</v>
      </c>
      <c r="K55" s="17" cm="1">
        <f t="array" ref="K55">VLOOKUP(data[[#This Row],[UID]],CoTwo[#All],COLUMN(CoTwo[ESF_CO2_TONNES]),FALSE)</f>
        <v>1364008.0576500001</v>
      </c>
      <c r="L55" s="7">
        <f>IF(data[[#This Row],[ESF]]=2,1,0)*(0.7*data[[#This Row],[ESFe]]/SUMIFS(data[ESFe],data[Year],data[[#This Row],[Year]],data[ESF],2)+0.3*data[[#This Row],[GDP_3Years]]/SUMIFS(data[GDP_3Years],data[Year],data[[#This Row],[Year]],data[ESF],2))</f>
        <v>2.5570588026131741E-2</v>
      </c>
      <c r="M55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2.5570588026131741E-2</v>
      </c>
      <c r="N55" s="8" cm="1">
        <f t="array" ref="N55">data[[#This Row],[ESF%Budget]]*VLOOKUP(data[[#This Row],[Year]],costs[#All],COLUMN(costs[ESF_Budget]),FALSE)</f>
        <v>2454.776450508647</v>
      </c>
      <c r="O55" s="8" cm="1">
        <f t="array" ref="O55">data[[#This Row],[ESF%Actual]]*VLOOKUP(data[[#This Row],[Year]],costs[#All],COLUMN(costs[ESF_Cost_5.4b]),FALSE)</f>
        <v>809.63718167144486</v>
      </c>
      <c r="P55" s="17" cm="1">
        <f t="array" ref="P55">VLOOKUP(data[[#This Row],[UID]],CoTwo[#All],COLUMN(CoTwo[CSF_SET_CO2_TONNES]),FALSE)</f>
        <v>1794172.3637999999</v>
      </c>
      <c r="Q55" s="7">
        <f>IF(data[[#This Row],[CSF]]=2,1,0)*(0.7*data[[#This Row],[CSFe]]/SUMIFS(data[CSFe],data[Year],data[[#This Row],[Year]],data[CSF],2)+0.3*data[[#This Row],[GDP_3Years]]/SUMIFS(data[GDP_3Years],data[Year],data[[#This Row],[Year]],data[CSF],2))</f>
        <v>1.8312878912317261E-2</v>
      </c>
      <c r="R55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1.8312878912317261E-2</v>
      </c>
      <c r="S55" s="8" cm="1">
        <f t="array" ref="S55">data[[#This Row],[CSF%Budget]]*VLOOKUP(data[[#This Row],[Year]],costs[#All],COLUMN(costs[CSF_Budget]),FALSE)</f>
        <v>1135.3984925636703</v>
      </c>
      <c r="T55" s="8" cm="1">
        <f t="array" ref="T55">data[[#This Row],[CSF%Actual]]*VLOOKUP(data[[#This Row],[Year]],costs[#All],COLUMN(costs[CSF_Cost_5.4b]),FALSE)</f>
        <v>345.50670576443116</v>
      </c>
      <c r="U55" s="8" cm="1">
        <f t="array" ref="U55">(data[[#This Row],[ESFBudget]]+data[[#This Row],[CSFBudget]])/(SUMIFS(data[ESFBudget],data[Year],data[[#This Row],[Year]])+SUMIFS(data[CSFBudget],data[Year],data[[#This Row],[Year]]))*VLOOKUP(data[[#This Row],[Year]],costs[#All],COLUMN(costs[HD_Budget]),FALSE)</f>
        <v>1999.5911075339491</v>
      </c>
      <c r="V55" s="8" cm="1">
        <f t="array" ref="V55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2860.7489958355659</v>
      </c>
      <c r="W55" s="8" cm="1">
        <f t="array" ref="W55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4180.9632248437119</v>
      </c>
      <c r="X55" s="8" cm="1">
        <f t="array" ref="X55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3220.3568186985808</v>
      </c>
    </row>
    <row r="56" spans="1:24" x14ac:dyDescent="0.25">
      <c r="A56" t="str">
        <f>data[[#This Row],[Year]] &amp;"-"&amp;data[[#This Row],[State]]</f>
        <v>2024-Switzerland</v>
      </c>
      <c r="B56" s="2" t="s">
        <v>34</v>
      </c>
      <c r="C56">
        <v>2024</v>
      </c>
      <c r="D56" s="3">
        <v>2</v>
      </c>
      <c r="E56" s="3">
        <v>2</v>
      </c>
      <c r="F56" s="16">
        <v>17000</v>
      </c>
      <c r="G56" s="8" t="str" cm="1">
        <f t="array" ref="G56">_xlfn.IFS(ISERROR(MATCH(data[[#This Row],[UID]],CoTwo[UID],0)), "Not in CO2", ISERROR(MATCH(data[[#This Row],[UID]],gdp[UID],0)), "Not in GDP", TRUE, "")</f>
        <v/>
      </c>
      <c r="H56" s="16">
        <f>data[[#This Row],[ESFBudget]]+data[[#This Row],[CSFBudget]]+data[[#This Row],[HDBudget]]+data[[#This Row],[RFDBudget]]</f>
        <v>12446.676846368391</v>
      </c>
      <c r="I56" s="8">
        <f>ROUND(data[[#This Row],[ESFActual]]+data[[#This Row],[CSFActual]]+data[[#This Row],[HDActual]]+data[[#This Row],[RFDActual]],2)</f>
        <v>9112.6299999999992</v>
      </c>
      <c r="J56" s="6">
        <f>VLOOKUP(data[[#This Row],[UID]],gdp[],MATCH("Year-5",gdp[#Headers],0),FALSE)+VLOOKUP(data[[#This Row],[UID]],gdp[],MATCH("Year-4",gdp[#Headers],0),FALSE)+VLOOKUP(data[[#This Row],[UID]],gdp[],MATCH("Year-3",gdp[#Headers],0),FALSE)</f>
        <v>2260.5569999999998</v>
      </c>
      <c r="K56" s="17" cm="1">
        <f t="array" ref="K56">VLOOKUP(data[[#This Row],[UID]],CoTwo[#All],COLUMN(CoTwo[ESF_CO2_TONNES]),FALSE)</f>
        <v>1145599.4560499999</v>
      </c>
      <c r="L56" s="7">
        <f>IF(data[[#This Row],[ESF]]=2,1,0)*(0.7*data[[#This Row],[ESFe]]/SUMIFS(data[ESFe],data[Year],data[[#This Row],[Year]],data[ESF],2)+0.3*data[[#This Row],[GDP_3Years]]/SUMIFS(data[GDP_3Years],data[Year],data[[#This Row],[Year]],data[ESF],2))</f>
        <v>2.5702805673399907E-2</v>
      </c>
      <c r="M56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2.5702805673399907E-2</v>
      </c>
      <c r="N56" s="8" cm="1">
        <f t="array" ref="N56">data[[#This Row],[ESF%Budget]]*VLOOKUP(data[[#This Row],[Year]],costs[#All],COLUMN(costs[ESF_Budget]),FALSE)</f>
        <v>2467.4693446463912</v>
      </c>
      <c r="O56" s="8" cm="1">
        <f t="array" ref="O56">data[[#This Row],[ESF%Actual]]*VLOOKUP(data[[#This Row],[Year]],costs[#All],COLUMN(costs[ESF_Cost_5.4b]),FALSE)</f>
        <v>813.82356655989679</v>
      </c>
      <c r="P56" s="17" cm="1">
        <f t="array" ref="P56">VLOOKUP(data[[#This Row],[UID]],CoTwo[#All],COLUMN(CoTwo[CSF_SET_CO2_TONNES]),FALSE)</f>
        <v>4237563.1277999999</v>
      </c>
      <c r="Q56" s="7">
        <f>IF(data[[#This Row],[CSF]]=2,1,0)*(0.7*data[[#This Row],[CSFe]]/SUMIFS(data[CSFe],data[Year],data[[#This Row],[Year]],data[CSF],2)+0.3*data[[#This Row],[GDP_3Years]]/SUMIFS(data[GDP_3Years],data[Year],data[[#This Row],[Year]],data[CSF],2))</f>
        <v>3.3967108909537039E-2</v>
      </c>
      <c r="R56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3.3967108909537039E-2</v>
      </c>
      <c r="S56" s="8" cm="1">
        <f t="array" ref="S56">data[[#This Row],[CSF%Budget]]*VLOOKUP(data[[#This Row],[Year]],costs[#All],COLUMN(costs[CSF_Budget]),FALSE)</f>
        <v>2105.9607523912964</v>
      </c>
      <c r="T56" s="8" cm="1">
        <f t="array" ref="T56">data[[#This Row],[CSF%Actual]]*VLOOKUP(data[[#This Row],[Year]],costs[#All],COLUMN(costs[CSF_Cost_5.4b]),FALSE)</f>
        <v>640.853028072077</v>
      </c>
      <c r="U56" s="8" cm="1">
        <f t="array" ref="U56">(data[[#This Row],[ESFBudget]]+data[[#This Row],[CSFBudget]])/(SUMIFS(data[ESFBudget],data[Year],data[[#This Row],[Year]])+SUMIFS(data[CSFBudget],data[Year],data[[#This Row],[Year]]))*VLOOKUP(data[[#This Row],[Year]],costs[#All],COLUMN(costs[HD_Budget]),FALSE)</f>
        <v>2547.2268894893455</v>
      </c>
      <c r="V56" s="8" cm="1">
        <f t="array" ref="V56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3602.5508619504594</v>
      </c>
      <c r="W56" s="8" cm="1">
        <f t="array" ref="W56">(data[[#This Row],[ESFBudget]]+data[[#This Row],[CSFBudget]])/(SUMIFS(data[ESFBudget],data[Year],data[[#This Row],[Year]])+SUMIFS(data[CSFBudget],data[Year],data[[#This Row],[Year]]))*VLOOKUP(data[[#This Row],[Year]],costs[#All],COLUMN(costs[RFD_Budget]),FALSE)</f>
        <v>5326.0198598413581</v>
      </c>
      <c r="X56" s="8" cm="1">
        <f t="array" ref="X56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4055.4062065141275</v>
      </c>
    </row>
    <row r="57" spans="1:24" x14ac:dyDescent="0.25">
      <c r="A57" t="str">
        <f>data[[#This Row],[Year]] &amp;"-"&amp;data[[#This Row],[State]]</f>
        <v>2024-United Kingdom</v>
      </c>
      <c r="B57" s="2" t="s">
        <v>35</v>
      </c>
      <c r="C57">
        <v>2024</v>
      </c>
      <c r="D57" s="3">
        <v>2</v>
      </c>
      <c r="E57" s="3">
        <v>2</v>
      </c>
      <c r="F57" s="16">
        <v>78000</v>
      </c>
      <c r="G57" s="8" t="str" cm="1">
        <f t="array" ref="G57">_xlfn.IFS(ISERROR(MATCH(data[[#This Row],[UID]],CoTwo[UID],0)), "Not in CO2", ISERROR(MATCH(data[[#This Row],[UID]],gdp[UID],0)), "Not in GDP", TRUE, "")</f>
        <v/>
      </c>
      <c r="H57" s="16">
        <f>data[[#This Row],[ESFBudget]]+data[[#This Row],[CSFBudget]]+data[[#This Row],[HDBudget]]+data[[#This Row],[RFDBudget]]</f>
        <v>68453.782015937395</v>
      </c>
      <c r="I57" s="8">
        <f>ROUND(data[[#This Row],[ESFActual]]+data[[#This Row],[CSFActual]]+data[[#This Row],[HDActual]]+data[[#This Row],[RFDActual]],2)</f>
        <v>50166.63</v>
      </c>
      <c r="J57" s="6">
        <f>VLOOKUP(data[[#This Row],[UID]],gdp[],MATCH("Year-5",gdp[#Headers],0),FALSE)+VLOOKUP(data[[#This Row],[UID]],gdp[],MATCH("Year-4",gdp[#Headers],0),FALSE)+VLOOKUP(data[[#This Row],[UID]],gdp[],MATCH("Year-3",gdp[#Headers],0),FALSE)</f>
        <v>8688.5010000000002</v>
      </c>
      <c r="K57" s="17" cm="1">
        <f t="array" ref="K57">VLOOKUP(data[[#This Row],[UID]],CoTwo[#All],COLUMN(CoTwo[ESF_CO2_TONNES]),FALSE)</f>
        <v>8144130.3583500003</v>
      </c>
      <c r="L57" s="7">
        <f>IF(data[[#This Row],[ESF]]=2,1,0)*(0.7*data[[#This Row],[ESFe]]/SUMIFS(data[ESFe],data[Year],data[[#This Row],[Year]],data[ESF],2)+0.3*data[[#This Row],[GDP_3Years]]/SUMIFS(data[GDP_3Years],data[Year],data[[#This Row],[Year]],data[ESF],2))</f>
        <v>0.14457168780056914</v>
      </c>
      <c r="M57" s="7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0.14457168780056914</v>
      </c>
      <c r="N57" s="8" cm="1">
        <f t="array" ref="N57">data[[#This Row],[ESF%Budget]]*VLOOKUP(data[[#This Row],[Year]],costs[#All],COLUMN(costs[ESF_Budget]),FALSE)</f>
        <v>13878.882028854638</v>
      </c>
      <c r="O57" s="8" cm="1">
        <f t="array" ref="O57">data[[#This Row],[ESF%Actual]]*VLOOKUP(data[[#This Row],[Year]],costs[#All],COLUMN(costs[ESF_Cost_5.4b]),FALSE)</f>
        <v>4577.5487736424948</v>
      </c>
      <c r="P57" s="17" cm="1">
        <f t="array" ref="P57">VLOOKUP(data[[#This Row],[UID]],CoTwo[#All],COLUMN(CoTwo[CSF_SET_CO2_TONNES]),FALSE)</f>
        <v>26039303.994800001</v>
      </c>
      <c r="Q57" s="7">
        <f>IF(data[[#This Row],[CSF]]=2,1,0)*(0.7*data[[#This Row],[CSFe]]/SUMIFS(data[CSFe],data[Year],data[[#This Row],[Year]],data[CSF],2)+0.3*data[[#This Row],[GDP_3Years]]/SUMIFS(data[GDP_3Years],data[Year],data[[#This Row],[Year]],data[CSF],2))</f>
        <v>0.18183714501540185</v>
      </c>
      <c r="R57" s="7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0.18183714501540185</v>
      </c>
      <c r="S57" s="8" cm="1">
        <f t="array" ref="S57">data[[#This Row],[CSF%Budget]]*VLOOKUP(data[[#This Row],[Year]],costs[#All],COLUMN(costs[CSF_Budget]),FALSE)</f>
        <v>11273.902990954915</v>
      </c>
      <c r="T57" s="8" cm="1">
        <f t="array" ref="T57">data[[#This Row],[CSF%Actual]]*VLOOKUP(data[[#This Row],[Year]],costs[#All],COLUMN(costs[CSF_Cost_5.4b]),FALSE)</f>
        <v>3430.6977761767344</v>
      </c>
      <c r="U57" s="8" cm="1">
        <f t="array" ref="U57">(data[[#This Row],[ESFBudget]]+data[[#This Row],[CSFBudget]])/(SUMIFS(data[ESFBudget],data[Year],data[[#This Row],[Year]])+SUMIFS(data[CSFBudget],data[Year],data[[#This Row],[Year]]))*VLOOKUP(data[[#This Row],[Year]],costs[#All],COLUMN(costs[HD_Budget]),FALSE)</f>
        <v>14009.146086982537</v>
      </c>
      <c r="V57" s="8" cm="1">
        <f t="array" ref="V57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19832.666324064972</v>
      </c>
      <c r="W57" s="8" cm="1">
        <f t="array" ref="W57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29291.850909145305</v>
      </c>
      <c r="X57" s="8" cm="1">
        <f t="array" ref="X57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22325.713413742455</v>
      </c>
    </row>
    <row r="58" spans="1:24" x14ac:dyDescent="0.25">
      <c r="A58" t="str">
        <f>data[[#This Row],[Year]] &amp;"-"&amp;data[[#This Row],[State]]</f>
        <v>2025-Austria</v>
      </c>
      <c r="B58" s="50" t="s">
        <v>8</v>
      </c>
      <c r="C58">
        <v>2025</v>
      </c>
      <c r="D58" s="3">
        <v>2</v>
      </c>
      <c r="E58" s="3">
        <v>2</v>
      </c>
      <c r="F58" s="16">
        <v>11000</v>
      </c>
      <c r="G58" s="16" t="str" cm="1">
        <f t="array" ref="G58">_xlfn.IFS(ISERROR(MATCH(data[[#This Row],[UID]],CoTwo[UID],0)), "Not in CO2", ISERROR(MATCH(data[[#This Row],[UID]],gdp[UID],0)), "Not in GDP", TRUE, "")</f>
        <v/>
      </c>
      <c r="H58" s="8">
        <f>data[[#This Row],[ESFBudget]]+data[[#This Row],[CSFBudget]]+data[[#This Row],[HDBudget]]+data[[#This Row],[RFDBudget]]</f>
        <v>8135.2439650493343</v>
      </c>
      <c r="I58" s="8">
        <f>ROUND(data[[#This Row],[ESFActual]]+data[[#This Row],[CSFActual]]+data[[#This Row],[HDActual]]+data[[#This Row],[RFDActual]],2)</f>
        <v>0</v>
      </c>
      <c r="J58" s="6">
        <f>VLOOKUP(data[[#This Row],[UID]],gdp[],MATCH("Year-5",gdp[#Headers],0),FALSE)+VLOOKUP(data[[#This Row],[UID]],gdp[],MATCH("Year-4",gdp[#Headers],0),FALSE)+VLOOKUP(data[[#This Row],[UID]],gdp[],MATCH("Year-3",gdp[#Headers],0),FALSE)</f>
        <v>1385.5309999999999</v>
      </c>
      <c r="K58" s="17" cm="1">
        <f t="array" ref="K58">VLOOKUP(data[[#This Row],[UID]],CoTwo[#All],COLUMN(CoTwo[ESF_CO2_TONNES]),FALSE)</f>
        <v>1208462.1198499999</v>
      </c>
      <c r="L58" s="7">
        <f>IF(data[[#This Row],[ESF]]=2,1,0)*(0.7*data[[#This Row],[ESFe]]/SUMIFS(data[ESFe],data[Year],data[[#This Row],[Year]],data[ESF],2)+0.3*data[[#This Row],[GDP_3Years]]/SUMIFS(data[GDP_3Years],data[Year],data[[#This Row],[Year]],data[ESF],2))</f>
        <v>2.0445361467394722E-2</v>
      </c>
      <c r="M58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2.0445361467394722E-2</v>
      </c>
      <c r="N58" s="8" cm="1">
        <f t="array" ref="N58">data[[#This Row],[ESF%Budget]]*VLOOKUP(data[[#This Row],[Year]],costs[#All],COLUMN(costs[ESF_Budget]),FALSE)</f>
        <v>1267.6124109784728</v>
      </c>
      <c r="O58" s="8" cm="1">
        <f t="array" ref="O58">data[[#This Row],[ESF%Actual]]*VLOOKUP(data[[#This Row],[Year]],costs[#All],COLUMN(costs[ESF_Cost_5.4b]),FALSE)</f>
        <v>0</v>
      </c>
      <c r="P58" s="17" cm="1">
        <f t="array" ref="P58">VLOOKUP(data[[#This Row],[UID]],CoTwo[#All],COLUMN(CoTwo[CSF_SET_CO2_TONNES]),FALSE)</f>
        <v>2513773.0064500002</v>
      </c>
      <c r="Q58" s="51">
        <f>IF(data[[#This Row],[CSF]]=2,1,0)*(0.7*data[[#This Row],[CSFe]]/SUMIFS(data[CSFe],data[Year],data[[#This Row],[Year]],data[CSF],2)+0.3*data[[#This Row],[GDP_3Years]]/SUMIFS(data[GDP_3Years],data[Year],data[[#This Row],[Year]],data[CSF],2))</f>
        <v>1.8452911592234646E-2</v>
      </c>
      <c r="R58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1.8452911592234646E-2</v>
      </c>
      <c r="S58" s="8" cm="1">
        <f t="array" ref="S58">data[[#This Row],[CSF%Budget]]*VLOOKUP(data[[#This Row],[Year]],costs[#All],COLUMN(costs[CSF_Budget]),FALSE)</f>
        <v>922.64557961173227</v>
      </c>
      <c r="T58" s="8" cm="1">
        <f t="array" ref="T58">data[[#This Row],[CSF%Actual]]*VLOOKUP(data[[#This Row],[Year]],costs[#All],COLUMN(costs[CSF_Cost_5.4b]),FALSE)</f>
        <v>0</v>
      </c>
      <c r="U58" s="8" cm="1">
        <f t="array" ref="U58">(data[[#This Row],[ESFBudget]]+data[[#This Row],[CSFBudget]])/(SUMIFS(data[ESFBudget],data[Year],data[[#This Row],[Year]])+SUMIFS(data[CSFBudget],data[Year],data[[#This Row],[Year]]))*VLOOKUP(data[[#This Row],[Year]],costs[#All],COLUMN(costs[HD_Budget]),FALSE)</f>
        <v>1916.4757417664298</v>
      </c>
      <c r="V58" s="8" cm="1">
        <f t="array" ref="V58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58" s="8" cm="1">
        <f t="array" ref="W58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4028.5102326926994</v>
      </c>
      <c r="X58" s="8" cm="1">
        <f t="array" ref="X58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59" spans="1:24" x14ac:dyDescent="0.25">
      <c r="A59" t="str">
        <f>data[[#This Row],[Year]] &amp;"-"&amp;data[[#This Row],[State]]</f>
        <v>2025-Belgium</v>
      </c>
      <c r="B59" s="50" t="s">
        <v>9</v>
      </c>
      <c r="C59">
        <v>2025</v>
      </c>
      <c r="D59" s="3">
        <v>2</v>
      </c>
      <c r="E59" s="3">
        <v>2</v>
      </c>
      <c r="F59" s="16">
        <v>21000</v>
      </c>
      <c r="G59" s="16" t="str" cm="1">
        <f t="array" ref="G59">_xlfn.IFS(ISERROR(MATCH(data[[#This Row],[UID]],CoTwo[UID],0)), "Not in CO2", ISERROR(MATCH(data[[#This Row],[UID]],gdp[UID],0)), "Not in GDP", TRUE, "")</f>
        <v/>
      </c>
      <c r="H59" s="8">
        <f>data[[#This Row],[ESFBudget]]+data[[#This Row],[CSFBudget]]+data[[#This Row],[HDBudget]]+data[[#This Row],[RFDBudget]]</f>
        <v>11207.047893312447</v>
      </c>
      <c r="I59" s="8">
        <f>ROUND(data[[#This Row],[ESFActual]]+data[[#This Row],[CSFActual]]+data[[#This Row],[HDActual]]+data[[#This Row],[RFDActual]],2)</f>
        <v>0</v>
      </c>
      <c r="J59" s="6">
        <f>VLOOKUP(data[[#This Row],[UID]],gdp[],MATCH("Year-5",gdp[#Headers],0),FALSE)+VLOOKUP(data[[#This Row],[UID]],gdp[],MATCH("Year-4",gdp[#Headers],0),FALSE)+VLOOKUP(data[[#This Row],[UID]],gdp[],MATCH("Year-3",gdp[#Headers],0),FALSE)</f>
        <v>1710.8869999999999</v>
      </c>
      <c r="K59" s="17" cm="1">
        <f t="array" ref="K59">VLOOKUP(data[[#This Row],[UID]],CoTwo[#All],COLUMN(CoTwo[ESF_CO2_TONNES]),FALSE)</f>
        <v>1336423.6052999999</v>
      </c>
      <c r="L59" s="7">
        <f>IF(data[[#This Row],[ESF]]=2,1,0)*(0.7*data[[#This Row],[ESFe]]/SUMIFS(data[ESFe],data[Year],data[[#This Row],[Year]],data[ESF],2)+0.3*data[[#This Row],[GDP_3Years]]/SUMIFS(data[GDP_3Years],data[Year],data[[#This Row],[Year]],data[ESF],2))</f>
        <v>2.3507694270364844E-2</v>
      </c>
      <c r="M59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2.3507694270364844E-2</v>
      </c>
      <c r="N59" s="8" cm="1">
        <f t="array" ref="N59">data[[#This Row],[ESF%Budget]]*VLOOKUP(data[[#This Row],[Year]],costs[#All],COLUMN(costs[ESF_Budget]),FALSE)</f>
        <v>1457.4770447626204</v>
      </c>
      <c r="O59" s="8" cm="1">
        <f t="array" ref="O59">data[[#This Row],[ESF%Actual]]*VLOOKUP(data[[#This Row],[Year]],costs[#All],COLUMN(costs[ESF_Cost_5.4b]),FALSE)</f>
        <v>0</v>
      </c>
      <c r="P59" s="17" cm="1">
        <f t="array" ref="P59">VLOOKUP(data[[#This Row],[UID]],CoTwo[#All],COLUMN(CoTwo[CSF_SET_CO2_TONNES]),FALSE)</f>
        <v>4943561.1359000001</v>
      </c>
      <c r="Q59" s="51">
        <f>IF(data[[#This Row],[CSF]]=2,1,0)*(0.7*data[[#This Row],[CSFe]]/SUMIFS(data[CSFe],data[Year],data[[#This Row],[Year]],data[CSF],2)+0.3*data[[#This Row],[GDP_3Years]]/SUMIFS(data[GDP_3Years],data[Year],data[[#This Row],[Year]],data[CSF],2))</f>
        <v>3.1196101607199218E-2</v>
      </c>
      <c r="R59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3.1196101607199218E-2</v>
      </c>
      <c r="S59" s="8" cm="1">
        <f t="array" ref="S59">data[[#This Row],[CSF%Budget]]*VLOOKUP(data[[#This Row],[Year]],costs[#All],COLUMN(costs[CSF_Budget]),FALSE)</f>
        <v>1559.8050803599608</v>
      </c>
      <c r="T59" s="8" cm="1">
        <f t="array" ref="T59">data[[#This Row],[CSF%Actual]]*VLOOKUP(data[[#This Row],[Year]],costs[#All],COLUMN(costs[CSF_Cost_5.4b]),FALSE)</f>
        <v>0</v>
      </c>
      <c r="U59" s="8" cm="1">
        <f t="array" ref="U59">(data[[#This Row],[ESFBudget]]+data[[#This Row],[CSFBudget]])/(SUMIFS(data[ESFBudget],data[Year],data[[#This Row],[Year]])+SUMIFS(data[CSFBudget],data[Year],data[[#This Row],[Year]]))*VLOOKUP(data[[#This Row],[Year]],costs[#All],COLUMN(costs[HD_Budget]),FALSE)</f>
        <v>2640.1218594822594</v>
      </c>
      <c r="V59" s="8" cm="1">
        <f t="array" ref="V59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59" s="8" cm="1">
        <f t="array" ref="W59">(data[[#This Row],[ESFBudget]]+data[[#This Row],[CSFBudget]])/(SUMIFS(data[ESFBudget],data[Year],data[[#This Row],[Year]])+SUMIFS(data[CSFBudget],data[Year],data[[#This Row],[Year]]))*VLOOKUP(data[[#This Row],[Year]],costs[#All],COLUMN(costs[RFD_Budget]),FALSE)</f>
        <v>5549.643908707606</v>
      </c>
      <c r="X59" s="8" cm="1">
        <f t="array" ref="X59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60" spans="1:24" x14ac:dyDescent="0.25">
      <c r="A60" t="str">
        <f>data[[#This Row],[Year]] &amp;"-"&amp;data[[#This Row],[State]]</f>
        <v>2025-Bulgaria</v>
      </c>
      <c r="B60" s="50" t="s">
        <v>10</v>
      </c>
      <c r="C60">
        <v>2025</v>
      </c>
      <c r="D60" s="3">
        <v>2</v>
      </c>
      <c r="E60" s="3">
        <v>2</v>
      </c>
      <c r="F60" s="16">
        <v>4000</v>
      </c>
      <c r="G60" s="16" t="str" cm="1">
        <f t="array" ref="G60">_xlfn.IFS(ISERROR(MATCH(data[[#This Row],[UID]],CoTwo[UID],0)), "Not in CO2", ISERROR(MATCH(data[[#This Row],[UID]],gdp[UID],0)), "Not in GDP", TRUE, "")</f>
        <v/>
      </c>
      <c r="H60" s="8">
        <f>data[[#This Row],[ESFBudget]]+data[[#This Row],[CSFBudget]]+data[[#This Row],[HDBudget]]+data[[#This Row],[RFDBudget]]</f>
        <v>2521.5448283239575</v>
      </c>
      <c r="I60" s="8">
        <f>ROUND(data[[#This Row],[ESFActual]]+data[[#This Row],[CSFActual]]+data[[#This Row],[HDActual]]+data[[#This Row],[RFDActual]],2)</f>
        <v>0</v>
      </c>
      <c r="J60" s="6">
        <f>VLOOKUP(data[[#This Row],[UID]],gdp[],MATCH("Year-5",gdp[#Headers],0),FALSE)+VLOOKUP(data[[#This Row],[UID]],gdp[],MATCH("Year-4",gdp[#Headers],0),FALSE)+VLOOKUP(data[[#This Row],[UID]],gdp[],MATCH("Year-3",gdp[#Headers],0),FALSE)</f>
        <v>244.833</v>
      </c>
      <c r="K60" s="17" cm="1">
        <f t="array" ref="K60">VLOOKUP(data[[#This Row],[UID]],CoTwo[#All],COLUMN(CoTwo[ESF_CO2_TONNES]),FALSE)</f>
        <v>554882.20200000005</v>
      </c>
      <c r="L60" s="7">
        <f>IF(data[[#This Row],[ESF]]=2,1,0)*(0.7*data[[#This Row],[ESFe]]/SUMIFS(data[ESFe],data[Year],data[[#This Row],[Year]],data[ESF],2)+0.3*data[[#This Row],[GDP_3Years]]/SUMIFS(data[GDP_3Years],data[Year],data[[#This Row],[Year]],data[ESF],2))</f>
        <v>7.4218256548038517E-3</v>
      </c>
      <c r="M60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7.4218256548038517E-3</v>
      </c>
      <c r="N60" s="8" cm="1">
        <f t="array" ref="N60">data[[#This Row],[ESF%Budget]]*VLOOKUP(data[[#This Row],[Year]],costs[#All],COLUMN(costs[ESF_Budget]),FALSE)</f>
        <v>460.15319059783883</v>
      </c>
      <c r="O60" s="8" cm="1">
        <f t="array" ref="O60">data[[#This Row],[ESF%Actual]]*VLOOKUP(data[[#This Row],[Year]],costs[#All],COLUMN(costs[ESF_Cost_5.4b]),FALSE)</f>
        <v>0</v>
      </c>
      <c r="P60" s="17" cm="1">
        <f t="array" ref="P60">VLOOKUP(data[[#This Row],[UID]],CoTwo[#All],COLUMN(CoTwo[CSF_SET_CO2_TONNES]),FALSE)</f>
        <v>687803.28255</v>
      </c>
      <c r="Q60" s="51">
        <f>IF(data[[#This Row],[CSF]]=2,1,0)*(0.7*data[[#This Row],[CSFe]]/SUMIFS(data[CSFe],data[Year],data[[#This Row],[Year]],data[CSF],2)+0.3*data[[#This Row],[GDP_3Years]]/SUMIFS(data[GDP_3Years],data[Year],data[[#This Row],[Year]],data[CSF],2))</f>
        <v>4.3744852636337598E-3</v>
      </c>
      <c r="R60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4.3744852636337598E-3</v>
      </c>
      <c r="S60" s="8" cm="1">
        <f t="array" ref="S60">data[[#This Row],[CSF%Budget]]*VLOOKUP(data[[#This Row],[Year]],costs[#All],COLUMN(costs[CSF_Budget]),FALSE)</f>
        <v>218.724263181688</v>
      </c>
      <c r="T60" s="8" cm="1">
        <f t="array" ref="T60">data[[#This Row],[CSF%Actual]]*VLOOKUP(data[[#This Row],[Year]],costs[#All],COLUMN(costs[CSF_Cost_5.4b]),FALSE)</f>
        <v>0</v>
      </c>
      <c r="U60" s="8" cm="1">
        <f t="array" ref="U60">(data[[#This Row],[ESFBudget]]+data[[#This Row],[CSFBudget]])/(SUMIFS(data[ESFBudget],data[Year],data[[#This Row],[Year]])+SUMIFS(data[CSFBudget],data[Year],data[[#This Row],[Year]]))*VLOOKUP(data[[#This Row],[Year]],costs[#All],COLUMN(costs[HD_Budget]),FALSE)</f>
        <v>594.01777205708618</v>
      </c>
      <c r="V60" s="8" cm="1">
        <f t="array" ref="V60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60" s="8" cm="1">
        <f t="array" ref="W60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1248.6496024873443</v>
      </c>
      <c r="X60" s="8" cm="1">
        <f t="array" ref="X60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61" spans="1:24" x14ac:dyDescent="0.25">
      <c r="A61" t="str">
        <f>data[[#This Row],[Year]] &amp;"-"&amp;data[[#This Row],[State]]</f>
        <v>2025-Croatia</v>
      </c>
      <c r="B61" s="50" t="s">
        <v>11</v>
      </c>
      <c r="C61">
        <v>2025</v>
      </c>
      <c r="D61" s="3">
        <v>2</v>
      </c>
      <c r="E61" s="3">
        <v>2</v>
      </c>
      <c r="F61" s="16">
        <v>3000</v>
      </c>
      <c r="G61" s="16" t="str" cm="1">
        <f t="array" ref="G61">_xlfn.IFS(ISERROR(MATCH(data[[#This Row],[UID]],CoTwo[UID],0)), "Not in CO2", ISERROR(MATCH(data[[#This Row],[UID]],gdp[UID],0)), "Not in GDP", TRUE, "")</f>
        <v/>
      </c>
      <c r="H61" s="8">
        <f>data[[#This Row],[ESFBudget]]+data[[#This Row],[CSFBudget]]+data[[#This Row],[HDBudget]]+data[[#This Row],[RFDBudget]]</f>
        <v>2249.35600600003</v>
      </c>
      <c r="I61" s="8">
        <f>ROUND(data[[#This Row],[ESFActual]]+data[[#This Row],[CSFActual]]+data[[#This Row],[HDActual]]+data[[#This Row],[RFDActual]],2)</f>
        <v>0</v>
      </c>
      <c r="J61" s="6">
        <f>VLOOKUP(data[[#This Row],[UID]],gdp[],MATCH("Year-5",gdp[#Headers],0),FALSE)+VLOOKUP(data[[#This Row],[UID]],gdp[],MATCH("Year-4",gdp[#Headers],0),FALSE)+VLOOKUP(data[[#This Row],[UID]],gdp[],MATCH("Year-3",gdp[#Headers],0),FALSE)</f>
        <v>198.50400000000002</v>
      </c>
      <c r="K61" s="17" cm="1">
        <f t="array" ref="K61">VLOOKUP(data[[#This Row],[UID]],CoTwo[#All],COLUMN(CoTwo[ESF_CO2_TONNES]),FALSE)</f>
        <v>521711.24985000002</v>
      </c>
      <c r="L61" s="7">
        <f>IF(data[[#This Row],[ESF]]=2,1,0)*(0.7*data[[#This Row],[ESFe]]/SUMIFS(data[ESFe],data[Year],data[[#This Row],[Year]],data[ESF],2)+0.3*data[[#This Row],[GDP_3Years]]/SUMIFS(data[GDP_3Years],data[Year],data[[#This Row],[Year]],data[ESF],2))</f>
        <v>6.8189398323650679E-3</v>
      </c>
      <c r="M61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6.8189398323650679E-3</v>
      </c>
      <c r="N61" s="8" cm="1">
        <f t="array" ref="N61">data[[#This Row],[ESF%Budget]]*VLOOKUP(data[[#This Row],[Year]],costs[#All],COLUMN(costs[ESF_Budget]),FALSE)</f>
        <v>422.77426960663422</v>
      </c>
      <c r="O61" s="8" cm="1">
        <f t="array" ref="O61">data[[#This Row],[ESF%Actual]]*VLOOKUP(data[[#This Row],[Year]],costs[#All],COLUMN(costs[ESF_Cost_5.4b]),FALSE)</f>
        <v>0</v>
      </c>
      <c r="P61" s="17" cm="1">
        <f t="array" ref="P61">VLOOKUP(data[[#This Row],[UID]],CoTwo[#All],COLUMN(CoTwo[CSF_SET_CO2_TONNES]),FALSE)</f>
        <v>581650.37925</v>
      </c>
      <c r="Q61" s="51">
        <f>IF(data[[#This Row],[CSF]]=2,1,0)*(0.7*data[[#This Row],[CSFe]]/SUMIFS(data[CSFe],data[Year],data[[#This Row],[Year]],data[CSF],2)+0.3*data[[#This Row],[GDP_3Years]]/SUMIFS(data[GDP_3Years],data[Year],data[[#This Row],[Year]],data[CSF],2))</f>
        <v>3.6564315632520933E-3</v>
      </c>
      <c r="R61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3.6564315632520933E-3</v>
      </c>
      <c r="S61" s="8" cm="1">
        <f t="array" ref="S61">data[[#This Row],[CSF%Budget]]*VLOOKUP(data[[#This Row],[Year]],costs[#All],COLUMN(costs[CSF_Budget]),FALSE)</f>
        <v>182.82157816260465</v>
      </c>
      <c r="T61" s="8" cm="1">
        <f t="array" ref="T61">data[[#This Row],[CSF%Actual]]*VLOOKUP(data[[#This Row],[Year]],costs[#All],COLUMN(costs[CSF_Cost_5.4b]),FALSE)</f>
        <v>0</v>
      </c>
      <c r="U61" s="8" cm="1">
        <f t="array" ref="U61">(data[[#This Row],[ESFBudget]]+data[[#This Row],[CSFBudget]])/(SUMIFS(data[ESFBudget],data[Year],data[[#This Row],[Year]])+SUMIFS(data[CSFBudget],data[Year],data[[#This Row],[Year]]))*VLOOKUP(data[[#This Row],[Year]],costs[#All],COLUMN(costs[HD_Budget]),FALSE)</f>
        <v>529.89636679808405</v>
      </c>
      <c r="V61" s="8" cm="1">
        <f t="array" ref="V61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61" s="8" cm="1">
        <f t="array" ref="W61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1113.8637914327073</v>
      </c>
      <c r="X61" s="8" cm="1">
        <f t="array" ref="X61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62" spans="1:24" x14ac:dyDescent="0.25">
      <c r="A62" t="str">
        <f>data[[#This Row],[Year]] &amp;"-"&amp;data[[#This Row],[State]]</f>
        <v>2025-Cyprus</v>
      </c>
      <c r="B62" s="50" t="s">
        <v>12</v>
      </c>
      <c r="C62">
        <v>2025</v>
      </c>
      <c r="D62" s="3">
        <v>2</v>
      </c>
      <c r="E62" s="3">
        <v>2</v>
      </c>
      <c r="F62" s="16">
        <v>4000</v>
      </c>
      <c r="G62" s="16" t="str" cm="1">
        <f t="array" ref="G62">_xlfn.IFS(ISERROR(MATCH(data[[#This Row],[UID]],CoTwo[UID],0)), "Not in CO2", ISERROR(MATCH(data[[#This Row],[UID]],gdp[UID],0)), "Not in GDP", TRUE, "")</f>
        <v/>
      </c>
      <c r="H62" s="8">
        <f>data[[#This Row],[ESFBudget]]+data[[#This Row],[CSFBudget]]+data[[#This Row],[HDBudget]]+data[[#This Row],[RFDBudget]]</f>
        <v>2941.8473268289617</v>
      </c>
      <c r="I62" s="8">
        <f>ROUND(data[[#This Row],[ESFActual]]+data[[#This Row],[CSFActual]]+data[[#This Row],[HDActual]]+data[[#This Row],[RFDActual]],2)</f>
        <v>0</v>
      </c>
      <c r="J62" s="6">
        <f>VLOOKUP(data[[#This Row],[UID]],gdp[],MATCH("Year-5",gdp[#Headers],0),FALSE)+VLOOKUP(data[[#This Row],[UID]],gdp[],MATCH("Year-4",gdp[#Headers],0),FALSE)+VLOOKUP(data[[#This Row],[UID]],gdp[],MATCH("Year-3",gdp[#Headers],0),FALSE)</f>
        <v>83.983000000000004</v>
      </c>
      <c r="K62" s="17" cm="1">
        <f t="array" ref="K62">VLOOKUP(data[[#This Row],[UID]],CoTwo[#All],COLUMN(CoTwo[ESF_CO2_TONNES]),FALSE)</f>
        <v>769070.87144999998</v>
      </c>
      <c r="L62" s="7">
        <f>IF(data[[#This Row],[ESF]]=2,1,0)*(0.7*data[[#This Row],[ESFe]]/SUMIFS(data[ESFe],data[Year],data[[#This Row],[Year]],data[ESF],2)+0.3*data[[#This Row],[GDP_3Years]]/SUMIFS(data[GDP_3Years],data[Year],data[[#This Row],[Year]],data[ESF],2))</f>
        <v>9.0039273871984522E-3</v>
      </c>
      <c r="M62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9.0039273871984522E-3</v>
      </c>
      <c r="N62" s="8" cm="1">
        <f t="array" ref="N62">data[[#This Row],[ESF%Budget]]*VLOOKUP(data[[#This Row],[Year]],costs[#All],COLUMN(costs[ESF_Budget]),FALSE)</f>
        <v>558.24349800630409</v>
      </c>
      <c r="O62" s="8" cm="1">
        <f t="array" ref="O62">data[[#This Row],[ESF%Actual]]*VLOOKUP(data[[#This Row],[Year]],costs[#All],COLUMN(costs[ESF_Cost_5.4b]),FALSE)</f>
        <v>0</v>
      </c>
      <c r="P62" s="17" cm="1">
        <f t="array" ref="P62">VLOOKUP(data[[#This Row],[UID]],CoTwo[#All],COLUMN(CoTwo[CSF_SET_CO2_TONNES]),FALSE)</f>
        <v>930455.66879999998</v>
      </c>
      <c r="Q62" s="51">
        <f>IF(data[[#This Row],[CSF]]=2,1,0)*(0.7*data[[#This Row],[CSFe]]/SUMIFS(data[CSFe],data[Year],data[[#This Row],[Year]],data[CSF],2)+0.3*data[[#This Row],[GDP_3Years]]/SUMIFS(data[GDP_3Years],data[Year],data[[#This Row],[Year]],data[CSF],2))</f>
        <v>4.6758464151067883E-3</v>
      </c>
      <c r="R62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4.6758464151067883E-3</v>
      </c>
      <c r="S62" s="8" cm="1">
        <f t="array" ref="S62">data[[#This Row],[CSF%Budget]]*VLOOKUP(data[[#This Row],[Year]],costs[#All],COLUMN(costs[CSF_Budget]),FALSE)</f>
        <v>233.7923207553394</v>
      </c>
      <c r="T62" s="8" cm="1">
        <f t="array" ref="T62">data[[#This Row],[CSF%Actual]]*VLOOKUP(data[[#This Row],[Year]],costs[#All],COLUMN(costs[CSF_Cost_5.4b]),FALSE)</f>
        <v>0</v>
      </c>
      <c r="U62" s="8" cm="1">
        <f t="array" ref="U62">(data[[#This Row],[ESFBudget]]+data[[#This Row],[CSFBudget]])/(SUMIFS(data[ESFBudget],data[Year],data[[#This Row],[Year]])+SUMIFS(data[CSFBudget],data[Year],data[[#This Row],[Year]]))*VLOOKUP(data[[#This Row],[Year]],costs[#All],COLUMN(costs[HD_Budget]),FALSE)</f>
        <v>693.03134141643818</v>
      </c>
      <c r="V62" s="8" cm="1">
        <f t="array" ref="V62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62" s="8" cm="1">
        <f t="array" ref="W62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1456.7801666508803</v>
      </c>
      <c r="X62" s="8" cm="1">
        <f t="array" ref="X62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63" spans="1:24" x14ac:dyDescent="0.25">
      <c r="A63" t="str">
        <f>data[[#This Row],[Year]] &amp;"-"&amp;data[[#This Row],[State]]</f>
        <v>2025-Czech Republic</v>
      </c>
      <c r="B63" s="50" t="s">
        <v>13</v>
      </c>
      <c r="C63">
        <v>2025</v>
      </c>
      <c r="D63" s="3">
        <v>2</v>
      </c>
      <c r="E63" s="3">
        <v>2</v>
      </c>
      <c r="F63" s="16">
        <v>5000</v>
      </c>
      <c r="G63" s="16" t="str" cm="1">
        <f t="array" ref="G63">_xlfn.IFS(ISERROR(MATCH(data[[#This Row],[UID]],CoTwo[UID],0)), "Not in CO2", ISERROR(MATCH(data[[#This Row],[UID]],gdp[UID],0)), "Not in GDP", TRUE, "")</f>
        <v/>
      </c>
      <c r="H63" s="8">
        <f>data[[#This Row],[ESFBudget]]+data[[#This Row],[CSFBudget]]+data[[#This Row],[HDBudget]]+data[[#This Row],[RFDBudget]]</f>
        <v>3927.5936219552682</v>
      </c>
      <c r="I63" s="8">
        <f>ROUND(data[[#This Row],[ESFActual]]+data[[#This Row],[CSFActual]]+data[[#This Row],[HDActual]]+data[[#This Row],[RFDActual]],2)</f>
        <v>0</v>
      </c>
      <c r="J63" s="6">
        <f>VLOOKUP(data[[#This Row],[UID]],gdp[],MATCH("Year-5",gdp[#Headers],0),FALSE)+VLOOKUP(data[[#This Row],[UID]],gdp[],MATCH("Year-4",gdp[#Headers],0),FALSE)+VLOOKUP(data[[#This Row],[UID]],gdp[],MATCH("Year-3",gdp[#Headers],0),FALSE)</f>
        <v>818.33199999999988</v>
      </c>
      <c r="K63" s="17" cm="1">
        <f t="array" ref="K63">VLOOKUP(data[[#This Row],[UID]],CoTwo[#All],COLUMN(CoTwo[ESF_CO2_TONNES]),FALSE)</f>
        <v>524044.51785</v>
      </c>
      <c r="L63" s="7">
        <f>IF(data[[#This Row],[ESF]]=2,1,0)*(0.7*data[[#This Row],[ESFe]]/SUMIFS(data[ESFe],data[Year],data[[#This Row],[Year]],data[ESF],2)+0.3*data[[#This Row],[GDP_3Years]]/SUMIFS(data[GDP_3Years],data[Year],data[[#This Row],[Year]],data[ESF],2))</f>
        <v>9.9586598931901311E-3</v>
      </c>
      <c r="M63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9.9586598931901311E-3</v>
      </c>
      <c r="N63" s="8" cm="1">
        <f t="array" ref="N63">data[[#This Row],[ESF%Budget]]*VLOOKUP(data[[#This Row],[Year]],costs[#All],COLUMN(costs[ESF_Budget]),FALSE)</f>
        <v>617.43691337778819</v>
      </c>
      <c r="O63" s="8" cm="1">
        <f t="array" ref="O63">data[[#This Row],[ESF%Actual]]*VLOOKUP(data[[#This Row],[Year]],costs[#All],COLUMN(costs[ESF_Cost_5.4b]),FALSE)</f>
        <v>0</v>
      </c>
      <c r="P63" s="17" cm="1">
        <f t="array" ref="P63">VLOOKUP(data[[#This Row],[UID]],CoTwo[#All],COLUMN(CoTwo[CSF_SET_CO2_TONNES]),FALSE)</f>
        <v>1025606.4928</v>
      </c>
      <c r="Q63" s="51">
        <f>IF(data[[#This Row],[CSF]]=2,1,0)*(0.7*data[[#This Row],[CSFe]]/SUMIFS(data[CSFe],data[Year],data[[#This Row],[Year]],data[CSF],2)+0.3*data[[#This Row],[GDP_3Years]]/SUMIFS(data[GDP_3Years],data[Year],data[[#This Row],[Year]],data[CSF],2))</f>
        <v>8.7998427737418297E-3</v>
      </c>
      <c r="R63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8.7998427737418297E-3</v>
      </c>
      <c r="S63" s="8" cm="1">
        <f t="array" ref="S63">data[[#This Row],[CSF%Budget]]*VLOOKUP(data[[#This Row],[Year]],costs[#All],COLUMN(costs[CSF_Budget]),FALSE)</f>
        <v>439.99213868709148</v>
      </c>
      <c r="T63" s="8" cm="1">
        <f t="array" ref="T63">data[[#This Row],[CSF%Actual]]*VLOOKUP(data[[#This Row],[Year]],costs[#All],COLUMN(costs[CSF_Cost_5.4b]),FALSE)</f>
        <v>0</v>
      </c>
      <c r="U63" s="8" cm="1">
        <f t="array" ref="U63">(data[[#This Row],[ESFBudget]]+data[[#This Row],[CSFBudget]])/(SUMIFS(data[ESFBudget],data[Year],data[[#This Row],[Year]])+SUMIFS(data[CSFBudget],data[Year],data[[#This Row],[Year]]))*VLOOKUP(data[[#This Row],[Year]],costs[#All],COLUMN(costs[HD_Budget]),FALSE)</f>
        <v>925.25042055677</v>
      </c>
      <c r="V63" s="8" cm="1">
        <f t="array" ref="V63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63" s="8" cm="1">
        <f t="array" ref="W63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1944.9141493336185</v>
      </c>
      <c r="X63" s="8" cm="1">
        <f t="array" ref="X63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64" spans="1:24" x14ac:dyDescent="0.25">
      <c r="A64" t="str">
        <f>data[[#This Row],[Year]] &amp;"-"&amp;data[[#This Row],[State]]</f>
        <v>2025-Denmark</v>
      </c>
      <c r="B64" s="50" t="s">
        <v>14</v>
      </c>
      <c r="C64">
        <v>2025</v>
      </c>
      <c r="D64" s="3">
        <v>2</v>
      </c>
      <c r="E64" s="3">
        <v>2</v>
      </c>
      <c r="F64" s="16">
        <v>10000</v>
      </c>
      <c r="G64" s="16" t="str" cm="1">
        <f t="array" ref="G64">_xlfn.IFS(ISERROR(MATCH(data[[#This Row],[UID]],CoTwo[UID],0)), "Not in CO2", ISERROR(MATCH(data[[#This Row],[UID]],gdp[UID],0)), "Not in GDP", TRUE, "")</f>
        <v/>
      </c>
      <c r="H64" s="8">
        <f>data[[#This Row],[ESFBudget]]+data[[#This Row],[CSFBudget]]+data[[#This Row],[HDBudget]]+data[[#This Row],[RFDBudget]]</f>
        <v>7897.9822865757296</v>
      </c>
      <c r="I64" s="8">
        <f>ROUND(data[[#This Row],[ESFActual]]+data[[#This Row],[CSFActual]]+data[[#This Row],[HDActual]]+data[[#This Row],[RFDActual]],2)</f>
        <v>0</v>
      </c>
      <c r="J64" s="6">
        <f>VLOOKUP(data[[#This Row],[UID]],gdp[],MATCH("Year-5",gdp[#Headers],0),FALSE)+VLOOKUP(data[[#This Row],[UID]],gdp[],MATCH("Year-4",gdp[#Headers],0),FALSE)+VLOOKUP(data[[#This Row],[UID]],gdp[],MATCH("Year-3",gdp[#Headers],0),FALSE)</f>
        <v>1160.6179999999999</v>
      </c>
      <c r="K64" s="17" cm="1">
        <f t="array" ref="K64">VLOOKUP(data[[#This Row],[UID]],CoTwo[#All],COLUMN(CoTwo[ESF_CO2_TONNES]),FALSE)</f>
        <v>1326590.0266499999</v>
      </c>
      <c r="L64" s="7">
        <f>IF(data[[#This Row],[ESF]]=2,1,0)*(0.7*data[[#This Row],[ESFe]]/SUMIFS(data[ESFe],data[Year],data[[#This Row],[Year]],data[ESF],2)+0.3*data[[#This Row],[GDP_3Years]]/SUMIFS(data[GDP_3Years],data[Year],data[[#This Row],[Year]],data[ESF],2))</f>
        <v>2.0633705518583439E-2</v>
      </c>
      <c r="M64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2.0633705518583439E-2</v>
      </c>
      <c r="N64" s="8" cm="1">
        <f t="array" ref="N64">data[[#This Row],[ESF%Budget]]*VLOOKUP(data[[#This Row],[Year]],costs[#All],COLUMN(costs[ESF_Budget]),FALSE)</f>
        <v>1279.2897421521732</v>
      </c>
      <c r="O64" s="8" cm="1">
        <f t="array" ref="O64">data[[#This Row],[ESF%Actual]]*VLOOKUP(data[[#This Row],[Year]],costs[#All],COLUMN(costs[ESF_Cost_5.4b]),FALSE)</f>
        <v>0</v>
      </c>
      <c r="P64" s="17" cm="1">
        <f t="array" ref="P64">VLOOKUP(data[[#This Row],[UID]],CoTwo[#All],COLUMN(CoTwo[CSF_SET_CO2_TONNES]),FALSE)</f>
        <v>2430379.5893999999</v>
      </c>
      <c r="Q64" s="51">
        <f>IF(data[[#This Row],[CSF]]=2,1,0)*(0.7*data[[#This Row],[CSFe]]/SUMIFS(data[CSFe],data[Year],data[[#This Row],[Year]],data[CSF],2)+0.3*data[[#This Row],[GDP_3Years]]/SUMIFS(data[GDP_3Years],data[Year],data[[#This Row],[Year]],data[CSF],2))</f>
        <v>1.6941802084671991E-2</v>
      </c>
      <c r="R64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1.6941802084671991E-2</v>
      </c>
      <c r="S64" s="8" cm="1">
        <f t="array" ref="S64">data[[#This Row],[CSF%Budget]]*VLOOKUP(data[[#This Row],[Year]],costs[#All],COLUMN(costs[CSF_Budget]),FALSE)</f>
        <v>847.0901042335995</v>
      </c>
      <c r="T64" s="8" cm="1">
        <f t="array" ref="T64">data[[#This Row],[CSF%Actual]]*VLOOKUP(data[[#This Row],[Year]],costs[#All],COLUMN(costs[CSF_Cost_5.4b]),FALSE)</f>
        <v>0</v>
      </c>
      <c r="U64" s="8" cm="1">
        <f t="array" ref="U64">(data[[#This Row],[ESFBudget]]+data[[#This Row],[CSFBudget]])/(SUMIFS(data[ESFBudget],data[Year],data[[#This Row],[Year]])+SUMIFS(data[CSFBudget],data[Year],data[[#This Row],[Year]]))*VLOOKUP(data[[#This Row],[Year]],costs[#All],COLUMN(costs[HD_Budget]),FALSE)</f>
        <v>1860.5823655875517</v>
      </c>
      <c r="V64" s="8" cm="1">
        <f t="array" ref="V64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64" s="8" cm="1">
        <f t="array" ref="W64">(data[[#This Row],[ESFBudget]]+data[[#This Row],[CSFBudget]])/(SUMIFS(data[ESFBudget],data[Year],data[[#This Row],[Year]])+SUMIFS(data[CSFBudget],data[Year],data[[#This Row],[Year]]))*VLOOKUP(data[[#This Row],[Year]],costs[#All],COLUMN(costs[RFD_Budget]),FALSE)</f>
        <v>3911.0200746024047</v>
      </c>
      <c r="X64" s="8" cm="1">
        <f t="array" ref="X64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65" spans="1:24" x14ac:dyDescent="0.25">
      <c r="A65" t="str">
        <f>data[[#This Row],[Year]] &amp;"-"&amp;data[[#This Row],[State]]</f>
        <v>2025-Estonia</v>
      </c>
      <c r="B65" s="50" t="s">
        <v>15</v>
      </c>
      <c r="C65">
        <v>2025</v>
      </c>
      <c r="D65" s="3">
        <v>2</v>
      </c>
      <c r="E65" s="3">
        <v>2</v>
      </c>
      <c r="F65" s="16">
        <v>2000</v>
      </c>
      <c r="G65" s="16" t="str" cm="1">
        <f t="array" ref="G65">_xlfn.IFS(ISERROR(MATCH(data[[#This Row],[UID]],CoTwo[UID],0)), "Not in CO2", ISERROR(MATCH(data[[#This Row],[UID]],gdp[UID],0)), "Not in GDP", TRUE, "")</f>
        <v/>
      </c>
      <c r="H65" s="8">
        <f>data[[#This Row],[ESFBudget]]+data[[#This Row],[CSFBudget]]+data[[#This Row],[HDBudget]]+data[[#This Row],[RFDBudget]]</f>
        <v>691.53951615024494</v>
      </c>
      <c r="I65" s="8">
        <f>ROUND(data[[#This Row],[ESFActual]]+data[[#This Row],[CSFActual]]+data[[#This Row],[HDActual]]+data[[#This Row],[RFDActual]],2)</f>
        <v>0</v>
      </c>
      <c r="J65" s="6">
        <f>VLOOKUP(data[[#This Row],[UID]],gdp[],MATCH("Year-5",gdp[#Headers],0),FALSE)+VLOOKUP(data[[#This Row],[UID]],gdp[],MATCH("Year-4",gdp[#Headers],0),FALSE)+VLOOKUP(data[[#This Row],[UID]],gdp[],MATCH("Year-3",gdp[#Headers],0),FALSE)</f>
        <v>106.14500000000001</v>
      </c>
      <c r="K65" s="17" cm="1">
        <f t="array" ref="K65">VLOOKUP(data[[#This Row],[UID]],CoTwo[#All],COLUMN(CoTwo[ESF_CO2_TONNES]),FALSE)</f>
        <v>125432.56215</v>
      </c>
      <c r="L65" s="7">
        <f>IF(data[[#This Row],[ESF]]=2,1,0)*(0.7*data[[#This Row],[ESFe]]/SUMIFS(data[ESFe],data[Year],data[[#This Row],[Year]],data[ESF],2)+0.3*data[[#This Row],[GDP_3Years]]/SUMIFS(data[GDP_3Years],data[Year],data[[#This Row],[Year]],data[ESF],2))</f>
        <v>1.9329142094794596E-3</v>
      </c>
      <c r="M65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1.9329142094794596E-3</v>
      </c>
      <c r="N65" s="8" cm="1">
        <f t="array" ref="N65">data[[#This Row],[ESF%Budget]]*VLOOKUP(data[[#This Row],[Year]],costs[#All],COLUMN(costs[ESF_Budget]),FALSE)</f>
        <v>119.8406809877265</v>
      </c>
      <c r="O65" s="8" cm="1">
        <f t="array" ref="O65">data[[#This Row],[ESF%Actual]]*VLOOKUP(data[[#This Row],[Year]],costs[#All],COLUMN(costs[ESF_Cost_5.4b]),FALSE)</f>
        <v>0</v>
      </c>
      <c r="P65" s="17" cm="1">
        <f t="array" ref="P65">VLOOKUP(data[[#This Row],[UID]],CoTwo[#All],COLUMN(CoTwo[CSF_SET_CO2_TONNES]),FALSE)</f>
        <v>173591.55004999999</v>
      </c>
      <c r="Q65" s="51">
        <f>IF(data[[#This Row],[CSF]]=2,1,0)*(0.7*data[[#This Row],[CSFe]]/SUMIFS(data[CSFe],data[Year],data[[#This Row],[Year]],data[CSF],2)+0.3*data[[#This Row],[GDP_3Years]]/SUMIFS(data[GDP_3Years],data[Year],data[[#This Row],[Year]],data[CSF],2))</f>
        <v>1.3268606979775577E-3</v>
      </c>
      <c r="R65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1.3268606979775577E-3</v>
      </c>
      <c r="S65" s="8" cm="1">
        <f t="array" ref="S65">data[[#This Row],[CSF%Budget]]*VLOOKUP(data[[#This Row],[Year]],costs[#All],COLUMN(costs[CSF_Budget]),FALSE)</f>
        <v>66.343034898877889</v>
      </c>
      <c r="T65" s="8" cm="1">
        <f t="array" ref="T65">data[[#This Row],[CSF%Actual]]*VLOOKUP(data[[#This Row],[Year]],costs[#All],COLUMN(costs[CSF_Cost_5.4b]),FALSE)</f>
        <v>0</v>
      </c>
      <c r="U65" s="8" cm="1">
        <f t="array" ref="U65">(data[[#This Row],[ESFBudget]]+data[[#This Row],[CSFBudget]])/(SUMIFS(data[ESFBudget],data[Year],data[[#This Row],[Year]])+SUMIFS(data[CSFBudget],data[Year],data[[#This Row],[Year]]))*VLOOKUP(data[[#This Row],[Year]],costs[#All],COLUMN(costs[HD_Budget]),FALSE)</f>
        <v>162.91075140077888</v>
      </c>
      <c r="V65" s="8" cm="1">
        <f t="array" ref="V65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65" s="8" cm="1">
        <f t="array" ref="W65">(data[[#This Row],[ESFBudget]]+data[[#This Row],[CSFBudget]])/(SUMIFS(data[ESFBudget],data[Year],data[[#This Row],[Year]])+SUMIFS(data[CSFBudget],data[Year],data[[#This Row],[Year]]))*VLOOKUP(data[[#This Row],[Year]],costs[#All],COLUMN(costs[RFD_Budget]),FALSE)</f>
        <v>342.44504886286171</v>
      </c>
      <c r="X65" s="8" cm="1">
        <f t="array" ref="X65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66" spans="1:24" x14ac:dyDescent="0.25">
      <c r="A66" t="str">
        <f>data[[#This Row],[Year]] &amp;"-"&amp;data[[#This Row],[State]]</f>
        <v>2025-Finland</v>
      </c>
      <c r="B66" s="50" t="s">
        <v>16</v>
      </c>
      <c r="C66">
        <v>2025</v>
      </c>
      <c r="D66" s="3">
        <v>2</v>
      </c>
      <c r="E66" s="3">
        <v>2</v>
      </c>
      <c r="F66" s="16">
        <v>7000</v>
      </c>
      <c r="G66" s="16" t="str" cm="1">
        <f t="array" ref="G66">_xlfn.IFS(ISERROR(MATCH(data[[#This Row],[UID]],CoTwo[UID],0)), "Not in CO2", ISERROR(MATCH(data[[#This Row],[UID]],gdp[UID],0)), "Not in GDP", TRUE, "")</f>
        <v/>
      </c>
      <c r="H66" s="8">
        <f>data[[#This Row],[ESFBudget]]+data[[#This Row],[CSFBudget]]+data[[#This Row],[HDBudget]]+data[[#This Row],[RFDBudget]]</f>
        <v>5923.2893007192906</v>
      </c>
      <c r="I66" s="8">
        <f>ROUND(data[[#This Row],[ESFActual]]+data[[#This Row],[CSFActual]]+data[[#This Row],[HDActual]]+data[[#This Row],[RFDActual]],2)</f>
        <v>0</v>
      </c>
      <c r="J66" s="6">
        <f>VLOOKUP(data[[#This Row],[UID]],gdp[],MATCH("Year-5",gdp[#Headers],0),FALSE)+VLOOKUP(data[[#This Row],[UID]],gdp[],MATCH("Year-4",gdp[#Headers],0),FALSE)+VLOOKUP(data[[#This Row],[UID]],gdp[],MATCH("Year-3",gdp[#Headers],0),FALSE)</f>
        <v>850.44499999999994</v>
      </c>
      <c r="K66" s="17" cm="1">
        <f t="array" ref="K66">VLOOKUP(data[[#This Row],[UID]],CoTwo[#All],COLUMN(CoTwo[ESF_CO2_TONNES]),FALSE)</f>
        <v>974813.74829999998</v>
      </c>
      <c r="L66" s="7">
        <f>IF(data[[#This Row],[ESF]]=2,1,0)*(0.7*data[[#This Row],[ESFe]]/SUMIFS(data[ESFe],data[Year],data[[#This Row],[Year]],data[ESF],2)+0.3*data[[#This Row],[GDP_3Years]]/SUMIFS(data[GDP_3Years],data[Year],data[[#This Row],[Year]],data[ESF],2))</f>
        <v>1.5150100499447851E-2</v>
      </c>
      <c r="M66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1.5150100499447851E-2</v>
      </c>
      <c r="N66" s="8" cm="1">
        <f t="array" ref="N66">data[[#This Row],[ESF%Budget]]*VLOOKUP(data[[#This Row],[Year]],costs[#All],COLUMN(costs[ESF_Budget]),FALSE)</f>
        <v>939.30623096576676</v>
      </c>
      <c r="O66" s="8" cm="1">
        <f t="array" ref="O66">data[[#This Row],[ESF%Actual]]*VLOOKUP(data[[#This Row],[Year]],costs[#All],COLUMN(costs[ESF_Cost_5.4b]),FALSE)</f>
        <v>0</v>
      </c>
      <c r="P66" s="17" cm="1">
        <f t="array" ref="P66">VLOOKUP(data[[#This Row],[UID]],CoTwo[#All],COLUMN(CoTwo[CSF_SET_CO2_TONNES]),FALSE)</f>
        <v>1932743.2337</v>
      </c>
      <c r="Q66" s="51">
        <f>IF(data[[#This Row],[CSF]]=2,1,0)*(0.7*data[[#This Row],[CSFe]]/SUMIFS(data[CSFe],data[Year],data[[#This Row],[Year]],data[CSF],2)+0.3*data[[#This Row],[GDP_3Years]]/SUMIFS(data[GDP_3Years],data[Year],data[[#This Row],[Year]],data[CSF],2))</f>
        <v>1.3108510076865459E-2</v>
      </c>
      <c r="R66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1.3108510076865459E-2</v>
      </c>
      <c r="S66" s="8" cm="1">
        <f t="array" ref="S66">data[[#This Row],[CSF%Budget]]*VLOOKUP(data[[#This Row],[Year]],costs[#All],COLUMN(costs[CSF_Budget]),FALSE)</f>
        <v>655.42550384327296</v>
      </c>
      <c r="T66" s="8" cm="1">
        <f t="array" ref="T66">data[[#This Row],[CSF%Actual]]*VLOOKUP(data[[#This Row],[Year]],costs[#All],COLUMN(costs[CSF_Cost_5.4b]),FALSE)</f>
        <v>0</v>
      </c>
      <c r="U66" s="8" cm="1">
        <f t="array" ref="U66">(data[[#This Row],[ESFBudget]]+data[[#This Row],[CSFBudget]])/(SUMIFS(data[ESFBudget],data[Year],data[[#This Row],[Year]])+SUMIFS(data[CSFBudget],data[Year],data[[#This Row],[Year]]))*VLOOKUP(data[[#This Row],[Year]],costs[#All],COLUMN(costs[HD_Budget]),FALSE)</f>
        <v>1395.3902679579101</v>
      </c>
      <c r="V66" s="8" cm="1">
        <f t="array" ref="V66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66" s="8" cm="1">
        <f t="array" ref="W66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2933.1672979523414</v>
      </c>
      <c r="X66" s="8" cm="1">
        <f t="array" ref="X66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67" spans="1:24" x14ac:dyDescent="0.25">
      <c r="A67" t="str">
        <f>data[[#This Row],[Year]] &amp;"-"&amp;data[[#This Row],[State]]</f>
        <v>2025-France</v>
      </c>
      <c r="B67" s="50" t="s">
        <v>17</v>
      </c>
      <c r="C67">
        <v>2025</v>
      </c>
      <c r="D67" s="3">
        <v>2</v>
      </c>
      <c r="E67" s="3">
        <v>2</v>
      </c>
      <c r="F67" s="16">
        <v>66000</v>
      </c>
      <c r="G67" s="16" t="str" cm="1">
        <f t="array" ref="G67">_xlfn.IFS(ISERROR(MATCH(data[[#This Row],[UID]],CoTwo[UID],0)), "Not in CO2", ISERROR(MATCH(data[[#This Row],[UID]],gdp[UID],0)), "Not in GDP", TRUE, "")</f>
        <v/>
      </c>
      <c r="H67" s="8">
        <f>data[[#This Row],[ESFBudget]]+data[[#This Row],[CSFBudget]]+data[[#This Row],[HDBudget]]+data[[#This Row],[RFDBudget]]</f>
        <v>46929.025338665379</v>
      </c>
      <c r="I67" s="8">
        <f>ROUND(data[[#This Row],[ESFActual]]+data[[#This Row],[CSFActual]]+data[[#This Row],[HDActual]]+data[[#This Row],[RFDActual]],2)</f>
        <v>0</v>
      </c>
      <c r="J67" s="6">
        <f>VLOOKUP(data[[#This Row],[UID]],gdp[],MATCH("Year-5",gdp[#Headers],0),FALSE)+VLOOKUP(data[[#This Row],[UID]],gdp[],MATCH("Year-4",gdp[#Headers],0),FALSE)+VLOOKUP(data[[#This Row],[UID]],gdp[],MATCH("Year-3",gdp[#Headers],0),FALSE)</f>
        <v>8384.0289999999986</v>
      </c>
      <c r="K67" s="17" cm="1">
        <f t="array" ref="K67">VLOOKUP(data[[#This Row],[UID]],CoTwo[#All],COLUMN(CoTwo[ESF_CO2_TONNES]),FALSE)</f>
        <v>5736410.4262499996</v>
      </c>
      <c r="L67" s="7">
        <f>IF(data[[#This Row],[ESF]]=2,1,0)*(0.7*data[[#This Row],[ESFe]]/SUMIFS(data[ESFe],data[Year],data[[#This Row],[Year]],data[ESF],2)+0.3*data[[#This Row],[GDP_3Years]]/SUMIFS(data[GDP_3Years],data[Year],data[[#This Row],[Year]],data[ESF],2))</f>
        <v>0.10612931653224905</v>
      </c>
      <c r="M67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0.10612931653224905</v>
      </c>
      <c r="N67" s="8" cm="1">
        <f t="array" ref="N67">data[[#This Row],[ESF%Budget]]*VLOOKUP(data[[#This Row],[Year]],costs[#All],COLUMN(costs[ESF_Budget]),FALSE)</f>
        <v>6580.0176249994411</v>
      </c>
      <c r="O67" s="8" cm="1">
        <f t="array" ref="O67">data[[#This Row],[ESF%Actual]]*VLOOKUP(data[[#This Row],[Year]],costs[#All],COLUMN(costs[ESF_Cost_5.4b]),FALSE)</f>
        <v>0</v>
      </c>
      <c r="P67" s="17" cm="1">
        <f t="array" ref="P67">VLOOKUP(data[[#This Row],[UID]],CoTwo[#All],COLUMN(CoTwo[CSF_SET_CO2_TONNES]),FALSE)</f>
        <v>17274511.772999998</v>
      </c>
      <c r="Q67" s="51">
        <f>IF(data[[#This Row],[CSF]]=2,1,0)*(0.7*data[[#This Row],[CSFe]]/SUMIFS(data[CSFe],data[Year],data[[#This Row],[Year]],data[CSF],2)+0.3*data[[#This Row],[GDP_3Years]]/SUMIFS(data[GDP_3Years],data[Year],data[[#This Row],[Year]],data[CSF],2))</f>
        <v>0.12109439932359398</v>
      </c>
      <c r="R67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0.12109439932359398</v>
      </c>
      <c r="S67" s="8" cm="1">
        <f t="array" ref="S67">data[[#This Row],[CSF%Budget]]*VLOOKUP(data[[#This Row],[Year]],costs[#All],COLUMN(costs[CSF_Budget]),FALSE)</f>
        <v>6054.7199661796985</v>
      </c>
      <c r="T67" s="8" cm="1">
        <f t="array" ref="T67">data[[#This Row],[CSF%Actual]]*VLOOKUP(data[[#This Row],[Year]],costs[#All],COLUMN(costs[CSF_Cost_5.4b]),FALSE)</f>
        <v>0</v>
      </c>
      <c r="U67" s="8" cm="1">
        <f t="array" ref="U67">(data[[#This Row],[ESFBudget]]+data[[#This Row],[CSFBudget]])/(SUMIFS(data[ESFBudget],data[Year],data[[#This Row],[Year]])+SUMIFS(data[CSFBudget],data[Year],data[[#This Row],[Year]]))*VLOOKUP(data[[#This Row],[Year]],costs[#All],COLUMN(costs[HD_Budget]),FALSE)</f>
        <v>11055.395392281749</v>
      </c>
      <c r="V67" s="8" cm="1">
        <f t="array" ref="V67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67" s="8" cm="1">
        <f t="array" ref="W67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23238.892355204494</v>
      </c>
      <c r="X67" s="8" cm="1">
        <f t="array" ref="X67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68" spans="1:24" x14ac:dyDescent="0.25">
      <c r="A68" t="str">
        <f>data[[#This Row],[Year]] &amp;"-"&amp;data[[#This Row],[State]]</f>
        <v>2025-Germany</v>
      </c>
      <c r="B68" s="50" t="s">
        <v>18</v>
      </c>
      <c r="C68">
        <v>2025</v>
      </c>
      <c r="D68" s="3">
        <v>2</v>
      </c>
      <c r="E68" s="3">
        <v>2</v>
      </c>
      <c r="F68" s="16">
        <v>95000</v>
      </c>
      <c r="G68" s="16" t="str" cm="1">
        <f t="array" ref="G68">_xlfn.IFS(ISERROR(MATCH(data[[#This Row],[UID]],CoTwo[UID],0)), "Not in CO2", ISERROR(MATCH(data[[#This Row],[UID]],gdp[UID],0)), "Not in GDP", TRUE, "")</f>
        <v/>
      </c>
      <c r="H68" s="8">
        <f>data[[#This Row],[ESFBudget]]+data[[#This Row],[CSFBudget]]+data[[#This Row],[HDBudget]]+data[[#This Row],[RFDBudget]]</f>
        <v>64012.07678189093</v>
      </c>
      <c r="I68" s="8">
        <f>ROUND(data[[#This Row],[ESFActual]]+data[[#This Row],[CSFActual]]+data[[#This Row],[HDActual]]+data[[#This Row],[RFDActual]],2)</f>
        <v>0</v>
      </c>
      <c r="J68" s="6">
        <f>VLOOKUP(data[[#This Row],[UID]],gdp[],MATCH("Year-5",gdp[#Headers],0),FALSE)+VLOOKUP(data[[#This Row],[UID]],gdp[],MATCH("Year-4",gdp[#Headers],0),FALSE)+VLOOKUP(data[[#This Row],[UID]],gdp[],MATCH("Year-3",gdp[#Headers],0),FALSE)</f>
        <v>12251.644</v>
      </c>
      <c r="K68" s="17" cm="1">
        <f t="array" ref="K68">VLOOKUP(data[[#This Row],[UID]],CoTwo[#All],COLUMN(CoTwo[ESF_CO2_TONNES]),FALSE)</f>
        <v>6713677.3838499999</v>
      </c>
      <c r="L68" s="7">
        <f>IF(data[[#This Row],[ESF]]=2,1,0)*(0.7*data[[#This Row],[ESFe]]/SUMIFS(data[ESFe],data[Year],data[[#This Row],[Year]],data[ESF],2)+0.3*data[[#This Row],[GDP_3Years]]/SUMIFS(data[GDP_3Years],data[Year],data[[#This Row],[Year]],data[ESF],2))</f>
        <v>0.13646343496651747</v>
      </c>
      <c r="M68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0.13646343496651747</v>
      </c>
      <c r="N68" s="8" cm="1">
        <f t="array" ref="N68">data[[#This Row],[ESF%Budget]]*VLOOKUP(data[[#This Row],[Year]],costs[#All],COLUMN(costs[ESF_Budget]),FALSE)</f>
        <v>8460.7329679240829</v>
      </c>
      <c r="O68" s="8" cm="1">
        <f t="array" ref="O68">data[[#This Row],[ESF%Actual]]*VLOOKUP(data[[#This Row],[Year]],costs[#All],COLUMN(costs[ESF_Cost_5.4b]),FALSE)</f>
        <v>0</v>
      </c>
      <c r="P68" s="17" cm="1">
        <f t="array" ref="P68">VLOOKUP(data[[#This Row],[UID]],CoTwo[#All],COLUMN(CoTwo[CSF_SET_CO2_TONNES]),FALSE)</f>
        <v>24917383.57945</v>
      </c>
      <c r="Q68" s="51">
        <f>IF(data[[#This Row],[CSF]]=2,1,0)*(0.7*data[[#This Row],[CSFe]]/SUMIFS(data[CSFe],data[Year],data[[#This Row],[Year]],data[CSF],2)+0.3*data[[#This Row],[GDP_3Years]]/SUMIFS(data[GDP_3Years],data[Year],data[[#This Row],[Year]],data[CSF],2))</f>
        <v>0.17546575408246942</v>
      </c>
      <c r="R68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0.17546575408246942</v>
      </c>
      <c r="S68" s="8" cm="1">
        <f t="array" ref="S68">data[[#This Row],[CSF%Budget]]*VLOOKUP(data[[#This Row],[Year]],costs[#All],COLUMN(costs[CSF_Budget]),FALSE)</f>
        <v>8773.2877041234715</v>
      </c>
      <c r="T68" s="8" cm="1">
        <f t="array" ref="T68">data[[#This Row],[CSF%Actual]]*VLOOKUP(data[[#This Row],[Year]],costs[#All],COLUMN(costs[CSF_Cost_5.4b]),FALSE)</f>
        <v>0</v>
      </c>
      <c r="U68" s="8" cm="1">
        <f t="array" ref="U68">(data[[#This Row],[ESFBudget]]+data[[#This Row],[CSFBudget]])/(SUMIFS(data[ESFBudget],data[Year],data[[#This Row],[Year]])+SUMIFS(data[CSFBudget],data[Year],data[[#This Row],[Year]]))*VLOOKUP(data[[#This Row],[Year]],costs[#All],COLUMN(costs[HD_Budget]),FALSE)</f>
        <v>15079.768088041614</v>
      </c>
      <c r="V68" s="8" cm="1">
        <f t="array" ref="V68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68" s="8" cm="1">
        <f t="array" ref="W68">(data[[#This Row],[ESFBudget]]+data[[#This Row],[CSFBudget]])/(SUMIFS(data[ESFBudget],data[Year],data[[#This Row],[Year]])+SUMIFS(data[CSFBudget],data[Year],data[[#This Row],[Year]]))*VLOOKUP(data[[#This Row],[Year]],costs[#All],COLUMN(costs[RFD_Budget]),FALSE)</f>
        <v>31698.28802180176</v>
      </c>
      <c r="X68" s="8" cm="1">
        <f t="array" ref="X68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69" spans="1:24" x14ac:dyDescent="0.25">
      <c r="A69" t="str">
        <f>data[[#This Row],[Year]] &amp;"-"&amp;data[[#This Row],[State]]</f>
        <v>2025-Greece</v>
      </c>
      <c r="B69" s="50" t="s">
        <v>19</v>
      </c>
      <c r="C69">
        <v>2025</v>
      </c>
      <c r="D69" s="3">
        <v>2</v>
      </c>
      <c r="E69" s="3">
        <v>2</v>
      </c>
      <c r="F69" s="16">
        <v>21000</v>
      </c>
      <c r="G69" s="16" t="str" cm="1">
        <f t="array" ref="G69">_xlfn.IFS(ISERROR(MATCH(data[[#This Row],[UID]],CoTwo[UID],0)), "Not in CO2", ISERROR(MATCH(data[[#This Row],[UID]],gdp[UID],0)), "Not in GDP", TRUE, "")</f>
        <v/>
      </c>
      <c r="H69" s="8">
        <f>data[[#This Row],[ESFBudget]]+data[[#This Row],[CSFBudget]]+data[[#This Row],[HDBudget]]+data[[#This Row],[RFDBudget]]</f>
        <v>13998.869565685254</v>
      </c>
      <c r="I69" s="8">
        <f>ROUND(data[[#This Row],[ESFActual]]+data[[#This Row],[CSFActual]]+data[[#This Row],[HDActual]]+data[[#This Row],[RFDActual]],2)</f>
        <v>0</v>
      </c>
      <c r="J69" s="6">
        <f>VLOOKUP(data[[#This Row],[UID]],gdp[],MATCH("Year-5",gdp[#Headers],0),FALSE)+VLOOKUP(data[[#This Row],[UID]],gdp[],MATCH("Year-4",gdp[#Headers],0),FALSE)+VLOOKUP(data[[#This Row],[UID]],gdp[],MATCH("Year-3",gdp[#Headers],0),FALSE)</f>
        <v>620.89300000000003</v>
      </c>
      <c r="K69" s="17" cm="1">
        <f t="array" ref="K69">VLOOKUP(data[[#This Row],[UID]],CoTwo[#All],COLUMN(CoTwo[ESF_CO2_TONNES]),FALSE)</f>
        <v>3567374.4707999998</v>
      </c>
      <c r="L69" s="7">
        <f>IF(data[[#This Row],[ESF]]=2,1,0)*(0.7*data[[#This Row],[ESFe]]/SUMIFS(data[ESFe],data[Year],data[[#This Row],[Year]],data[ESF],2)+0.3*data[[#This Row],[GDP_3Years]]/SUMIFS(data[GDP_3Years],data[Year],data[[#This Row],[Year]],data[ESF],2))</f>
        <v>4.292727220411046E-2</v>
      </c>
      <c r="M69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4.292727220411046E-2</v>
      </c>
      <c r="N69" s="8" cm="1">
        <f t="array" ref="N69">data[[#This Row],[ESF%Budget]]*VLOOKUP(data[[#This Row],[Year]],costs[#All],COLUMN(costs[ESF_Budget]),FALSE)</f>
        <v>2661.4908766548483</v>
      </c>
      <c r="O69" s="8" cm="1">
        <f t="array" ref="O69">data[[#This Row],[ESF%Actual]]*VLOOKUP(data[[#This Row],[Year]],costs[#All],COLUMN(costs[ESF_Cost_5.4b]),FALSE)</f>
        <v>0</v>
      </c>
      <c r="P69" s="17" cm="1">
        <f t="array" ref="P69">VLOOKUP(data[[#This Row],[UID]],CoTwo[#All],COLUMN(CoTwo[CSF_SET_CO2_TONNES]),FALSE)</f>
        <v>4162302.3646999998</v>
      </c>
      <c r="Q69" s="51">
        <f>IF(data[[#This Row],[CSF]]=2,1,0)*(0.7*data[[#This Row],[CSFe]]/SUMIFS(data[CSFe],data[Year],data[[#This Row],[Year]],data[CSF],2)+0.3*data[[#This Row],[GDP_3Years]]/SUMIFS(data[GDP_3Years],data[Year],data[[#This Row],[Year]],data[CSF],2))</f>
        <v>2.2148710897515928E-2</v>
      </c>
      <c r="R69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2.2148710897515928E-2</v>
      </c>
      <c r="S69" s="8" cm="1">
        <f t="array" ref="S69">data[[#This Row],[CSF%Budget]]*VLOOKUP(data[[#This Row],[Year]],costs[#All],COLUMN(costs[CSF_Budget]),FALSE)</f>
        <v>1107.4355448757965</v>
      </c>
      <c r="T69" s="8" cm="1">
        <f t="array" ref="T69">data[[#This Row],[CSF%Actual]]*VLOOKUP(data[[#This Row],[Year]],costs[#All],COLUMN(costs[CSF_Cost_5.4b]),FALSE)</f>
        <v>0</v>
      </c>
      <c r="U69" s="8" cm="1">
        <f t="array" ref="U69">(data[[#This Row],[ESFBudget]]+data[[#This Row],[CSFBudget]])/(SUMIFS(data[ESFBudget],data[Year],data[[#This Row],[Year]])+SUMIFS(data[CSFBudget],data[Year],data[[#This Row],[Year]]))*VLOOKUP(data[[#This Row],[Year]],costs[#All],COLUMN(costs[HD_Budget]),FALSE)</f>
        <v>3297.8106188393149</v>
      </c>
      <c r="V69" s="8" cm="1">
        <f t="array" ref="V69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69" s="8" cm="1">
        <f t="array" ref="W69">(data[[#This Row],[ESFBudget]]+data[[#This Row],[CSFBudget]])/(SUMIFS(data[ESFBudget],data[Year],data[[#This Row],[Year]])+SUMIFS(data[CSFBudget],data[Year],data[[#This Row],[Year]]))*VLOOKUP(data[[#This Row],[Year]],costs[#All],COLUMN(costs[RFD_Budget]),FALSE)</f>
        <v>6932.1325253152945</v>
      </c>
      <c r="X69" s="8" cm="1">
        <f t="array" ref="X69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70" spans="1:24" x14ac:dyDescent="0.25">
      <c r="A70" t="str">
        <f>data[[#This Row],[Year]] &amp;"-"&amp;data[[#This Row],[State]]</f>
        <v>2025-Iceland</v>
      </c>
      <c r="B70" s="50" t="s">
        <v>20</v>
      </c>
      <c r="C70">
        <v>2025</v>
      </c>
      <c r="D70" s="3">
        <v>2</v>
      </c>
      <c r="E70" s="3">
        <v>2</v>
      </c>
      <c r="F70" s="16">
        <v>3000</v>
      </c>
      <c r="G70" s="16" t="str" cm="1">
        <f t="array" ref="G70">_xlfn.IFS(ISERROR(MATCH(data[[#This Row],[UID]],CoTwo[UID],0)), "Not in CO2", ISERROR(MATCH(data[[#This Row],[UID]],gdp[UID],0)), "Not in GDP", TRUE, "")</f>
        <v/>
      </c>
      <c r="H70" s="8">
        <f>data[[#This Row],[ESFBudget]]+data[[#This Row],[CSFBudget]]+data[[#This Row],[HDBudget]]+data[[#This Row],[RFDBudget]]</f>
        <v>2263.8336686653938</v>
      </c>
      <c r="I70" s="8">
        <f>ROUND(data[[#This Row],[ESFActual]]+data[[#This Row],[CSFActual]]+data[[#This Row],[HDActual]]+data[[#This Row],[RFDActual]],2)</f>
        <v>0</v>
      </c>
      <c r="J70" s="6">
        <f>VLOOKUP(data[[#This Row],[UID]],gdp[],MATCH("Year-5",gdp[#Headers],0),FALSE)+VLOOKUP(data[[#This Row],[UID]],gdp[],MATCH("Year-4",gdp[#Headers],0),FALSE)+VLOOKUP(data[[#This Row],[UID]],gdp[],MATCH("Year-3",gdp[#Headers],0),FALSE)</f>
        <v>76.13</v>
      </c>
      <c r="K70" s="17" cm="1">
        <f t="array" ref="K70">VLOOKUP(data[[#This Row],[UID]],CoTwo[#All],COLUMN(CoTwo[ESF_CO2_TONNES]),FALSE)</f>
        <v>495405.74790000002</v>
      </c>
      <c r="L70" s="7">
        <f>IF(data[[#This Row],[ESF]]=2,1,0)*(0.7*data[[#This Row],[ESFe]]/SUMIFS(data[ESFe],data[Year],data[[#This Row],[Year]],data[ESF],2)+0.3*data[[#This Row],[GDP_3Years]]/SUMIFS(data[GDP_3Years],data[Year],data[[#This Row],[Year]],data[ESF],2))</f>
        <v>5.9106561269293111E-3</v>
      </c>
      <c r="M70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5.9106561269293111E-3</v>
      </c>
      <c r="N70" s="8" cm="1">
        <f t="array" ref="N70">data[[#This Row],[ESF%Budget]]*VLOOKUP(data[[#This Row],[Year]],costs[#All],COLUMN(costs[ESF_Budget]),FALSE)</f>
        <v>366.46067986961731</v>
      </c>
      <c r="O70" s="8" cm="1">
        <f t="array" ref="O70">data[[#This Row],[ESF%Actual]]*VLOOKUP(data[[#This Row],[Year]],costs[#All],COLUMN(costs[ESF_Cost_5.4b]),FALSE)</f>
        <v>0</v>
      </c>
      <c r="P70" s="17" cm="1">
        <f t="array" ref="P70">VLOOKUP(data[[#This Row],[UID]],CoTwo[#All],COLUMN(CoTwo[CSF_SET_CO2_TONNES]),FALSE)</f>
        <v>979507.98505000002</v>
      </c>
      <c r="Q70" s="51">
        <f>IF(data[[#This Row],[CSF]]=2,1,0)*(0.7*data[[#This Row],[CSFe]]/SUMIFS(data[CSFe],data[Year],data[[#This Row],[Year]],data[CSF],2)+0.3*data[[#This Row],[GDP_3Years]]/SUMIFS(data[GDP_3Years],data[Year],data[[#This Row],[Year]],data[CSF],2))</f>
        <v>4.860660003113618E-3</v>
      </c>
      <c r="R70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4.860660003113618E-3</v>
      </c>
      <c r="S70" s="8" cm="1">
        <f t="array" ref="S70">data[[#This Row],[CSF%Budget]]*VLOOKUP(data[[#This Row],[Year]],costs[#All],COLUMN(costs[CSF_Budget]),FALSE)</f>
        <v>243.0330001556809</v>
      </c>
      <c r="T70" s="8" cm="1">
        <f t="array" ref="T70">data[[#This Row],[CSF%Actual]]*VLOOKUP(data[[#This Row],[Year]],costs[#All],COLUMN(costs[CSF_Cost_5.4b]),FALSE)</f>
        <v>0</v>
      </c>
      <c r="U70" s="8" cm="1">
        <f t="array" ref="U70">(data[[#This Row],[ESFBudget]]+data[[#This Row],[CSFBudget]])/(SUMIFS(data[ESFBudget],data[Year],data[[#This Row],[Year]])+SUMIFS(data[CSFBudget],data[Year],data[[#This Row],[Year]]))*VLOOKUP(data[[#This Row],[Year]],costs[#All],COLUMN(costs[HD_Budget]),FALSE)</f>
        <v>533.30697002213606</v>
      </c>
      <c r="V70" s="8" cm="1">
        <f t="array" ref="V70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70" s="8" cm="1">
        <f t="array" ref="W70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1121.0330186179594</v>
      </c>
      <c r="X70" s="8" cm="1">
        <f t="array" ref="X70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71" spans="1:24" x14ac:dyDescent="0.25">
      <c r="A71" t="str">
        <f>data[[#This Row],[Year]] &amp;"-"&amp;data[[#This Row],[State]]</f>
        <v>2025-Ireland</v>
      </c>
      <c r="B71" s="50" t="s">
        <v>21</v>
      </c>
      <c r="C71">
        <v>2025</v>
      </c>
      <c r="D71" s="3">
        <v>2</v>
      </c>
      <c r="E71" s="3">
        <v>2</v>
      </c>
      <c r="F71" s="16">
        <v>10000</v>
      </c>
      <c r="G71" s="16" t="str" cm="1">
        <f t="array" ref="G71">_xlfn.IFS(ISERROR(MATCH(data[[#This Row],[UID]],CoTwo[UID],0)), "Not in CO2", ISERROR(MATCH(data[[#This Row],[UID]],gdp[UID],0)), "Not in GDP", TRUE, "")</f>
        <v/>
      </c>
      <c r="H71" s="8">
        <f>data[[#This Row],[ESFBudget]]+data[[#This Row],[CSFBudget]]+data[[#This Row],[HDBudget]]+data[[#This Row],[RFDBudget]]</f>
        <v>9454.4948705892166</v>
      </c>
      <c r="I71" s="8">
        <f>ROUND(data[[#This Row],[ESFActual]]+data[[#This Row],[CSFActual]]+data[[#This Row],[HDActual]]+data[[#This Row],[RFDActual]],2)</f>
        <v>0</v>
      </c>
      <c r="J71" s="6">
        <f>VLOOKUP(data[[#This Row],[UID]],gdp[],MATCH("Year-5",gdp[#Headers],0),FALSE)+VLOOKUP(data[[#This Row],[UID]],gdp[],MATCH("Year-4",gdp[#Headers],0),FALSE)+VLOOKUP(data[[#This Row],[UID]],gdp[],MATCH("Year-3",gdp[#Headers],0),FALSE)</f>
        <v>1475.558</v>
      </c>
      <c r="K71" s="17" cm="1">
        <f t="array" ref="K71">VLOOKUP(data[[#This Row],[UID]],CoTwo[#All],COLUMN(CoTwo[ESF_CO2_TONNES]),FALSE)</f>
        <v>1435323.66705</v>
      </c>
      <c r="L71" s="7">
        <f>IF(data[[#This Row],[ESF]]=2,1,0)*(0.7*data[[#This Row],[ESFe]]/SUMIFS(data[ESFe],data[Year],data[[#This Row],[Year]],data[ESF],2)+0.3*data[[#This Row],[GDP_3Years]]/SUMIFS(data[GDP_3Years],data[Year],data[[#This Row],[Year]],data[ESF],2))</f>
        <v>2.3429150904931837E-2</v>
      </c>
      <c r="M71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2.3429150904931837E-2</v>
      </c>
      <c r="N71" s="8" cm="1">
        <f t="array" ref="N71">data[[#This Row],[ESF%Budget]]*VLOOKUP(data[[#This Row],[Year]],costs[#All],COLUMN(costs[ESF_Budget]),FALSE)</f>
        <v>1452.607356105774</v>
      </c>
      <c r="O71" s="8" cm="1">
        <f t="array" ref="O71">data[[#This Row],[ESF%Actual]]*VLOOKUP(data[[#This Row],[Year]],costs[#All],COLUMN(costs[ESF_Cost_5.4b]),FALSE)</f>
        <v>0</v>
      </c>
      <c r="P71" s="17" cm="1">
        <f t="array" ref="P71">VLOOKUP(data[[#This Row],[UID]],CoTwo[#All],COLUMN(CoTwo[CSF_SET_CO2_TONNES]),FALSE)</f>
        <v>3159348.17625</v>
      </c>
      <c r="Q71" s="51">
        <f>IF(data[[#This Row],[CSF]]=2,1,0)*(0.7*data[[#This Row],[CSFe]]/SUMIFS(data[CSFe],data[Year],data[[#This Row],[Year]],data[CSF],2)+0.3*data[[#This Row],[GDP_3Years]]/SUMIFS(data[GDP_3Years],data[Year],data[[#This Row],[Year]],data[CSF],2))</f>
        <v>2.1856671411826435E-2</v>
      </c>
      <c r="R71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2.1856671411826435E-2</v>
      </c>
      <c r="S71" s="8" cm="1">
        <f t="array" ref="S71">data[[#This Row],[CSF%Budget]]*VLOOKUP(data[[#This Row],[Year]],costs[#All],COLUMN(costs[CSF_Budget]),FALSE)</f>
        <v>1092.8335705913219</v>
      </c>
      <c r="T71" s="8" cm="1">
        <f t="array" ref="T71">data[[#This Row],[CSF%Actual]]*VLOOKUP(data[[#This Row],[Year]],costs[#All],COLUMN(costs[CSF_Cost_5.4b]),FALSE)</f>
        <v>0</v>
      </c>
      <c r="U71" s="8" cm="1">
        <f t="array" ref="U71">(data[[#This Row],[ESFBudget]]+data[[#This Row],[CSFBudget]])/(SUMIFS(data[ESFBudget],data[Year],data[[#This Row],[Year]])+SUMIFS(data[CSFBudget],data[Year],data[[#This Row],[Year]]))*VLOOKUP(data[[#This Row],[Year]],costs[#All],COLUMN(costs[HD_Budget]),FALSE)</f>
        <v>2227.2608108599597</v>
      </c>
      <c r="V71" s="8" cm="1">
        <f t="array" ref="V71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71" s="8" cm="1">
        <f t="array" ref="W71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4681.7931330321599</v>
      </c>
      <c r="X71" s="8" cm="1">
        <f t="array" ref="X71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72" spans="1:24" x14ac:dyDescent="0.25">
      <c r="A72" t="str">
        <f>data[[#This Row],[Year]] &amp;"-"&amp;data[[#This Row],[State]]</f>
        <v>2025-Italy</v>
      </c>
      <c r="B72" s="50" t="s">
        <v>22</v>
      </c>
      <c r="C72">
        <v>2025</v>
      </c>
      <c r="D72" s="3">
        <v>2</v>
      </c>
      <c r="E72" s="3">
        <v>2</v>
      </c>
      <c r="F72" s="16">
        <v>52000</v>
      </c>
      <c r="G72" s="16" t="str" cm="1">
        <f t="array" ref="G72">_xlfn.IFS(ISERROR(MATCH(data[[#This Row],[UID]],CoTwo[UID],0)), "Not in CO2", ISERROR(MATCH(data[[#This Row],[UID]],gdp[UID],0)), "Not in GDP", TRUE, "")</f>
        <v/>
      </c>
      <c r="H72" s="8">
        <f>data[[#This Row],[ESFBudget]]+data[[#This Row],[CSFBudget]]+data[[#This Row],[HDBudget]]+data[[#This Row],[RFDBudget]]</f>
        <v>40427.213933073122</v>
      </c>
      <c r="I72" s="8">
        <f>ROUND(data[[#This Row],[ESFActual]]+data[[#This Row],[CSFActual]]+data[[#This Row],[HDActual]]+data[[#This Row],[RFDActual]],2)</f>
        <v>0</v>
      </c>
      <c r="J72" s="6">
        <f>VLOOKUP(data[[#This Row],[UID]],gdp[],MATCH("Year-5",gdp[#Headers],0),FALSE)+VLOOKUP(data[[#This Row],[UID]],gdp[],MATCH("Year-4",gdp[#Headers],0),FALSE)+VLOOKUP(data[[#This Row],[UID]],gdp[],MATCH("Year-3",gdp[#Headers],0),FALSE)</f>
        <v>6120.8509999999997</v>
      </c>
      <c r="K72" s="17" cm="1">
        <f t="array" ref="K72">VLOOKUP(data[[#This Row],[UID]],CoTwo[#All],COLUMN(CoTwo[ESF_CO2_TONNES]),FALSE)</f>
        <v>7104243.0440499997</v>
      </c>
      <c r="L72" s="7">
        <f>IF(data[[#This Row],[ESF]]=2,1,0)*(0.7*data[[#This Row],[ESFe]]/SUMIFS(data[ESFe],data[Year],data[[#This Row],[Year]],data[ESF],2)+0.3*data[[#This Row],[GDP_3Years]]/SUMIFS(data[GDP_3Years],data[Year],data[[#This Row],[Year]],data[ESF],2))</f>
        <v>0.11002393364746982</v>
      </c>
      <c r="M72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0.11002393364746982</v>
      </c>
      <c r="N72" s="8" cm="1">
        <f t="array" ref="N72">data[[#This Row],[ESF%Budget]]*VLOOKUP(data[[#This Row],[Year]],costs[#All],COLUMN(costs[ESF_Budget]),FALSE)</f>
        <v>6821.483886143129</v>
      </c>
      <c r="O72" s="8" cm="1">
        <f t="array" ref="O72">data[[#This Row],[ESF%Actual]]*VLOOKUP(data[[#This Row],[Year]],costs[#All],COLUMN(costs[ESF_Cost_5.4b]),FALSE)</f>
        <v>0</v>
      </c>
      <c r="P72" s="17" cm="1">
        <f t="array" ref="P72">VLOOKUP(data[[#This Row],[UID]],CoTwo[#All],COLUMN(CoTwo[CSF_SET_CO2_TONNES]),FALSE)</f>
        <v>11047337.88745</v>
      </c>
      <c r="Q72" s="51">
        <f>IF(data[[#This Row],[CSF]]=2,1,0)*(0.7*data[[#This Row],[CSFe]]/SUMIFS(data[CSFe],data[Year],data[[#This Row],[Year]],data[CSF],2)+0.3*data[[#This Row],[GDP_3Years]]/SUMIFS(data[GDP_3Years],data[Year],data[[#This Row],[Year]],data[CSF],2))</f>
        <v>8.1255320378300327E-2</v>
      </c>
      <c r="R72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8.1255320378300327E-2</v>
      </c>
      <c r="S72" s="8" cm="1">
        <f t="array" ref="S72">data[[#This Row],[CSF%Budget]]*VLOOKUP(data[[#This Row],[Year]],costs[#All],COLUMN(costs[CSF_Budget]),FALSE)</f>
        <v>4062.7660189150165</v>
      </c>
      <c r="T72" s="8" cm="1">
        <f t="array" ref="T72">data[[#This Row],[CSF%Actual]]*VLOOKUP(data[[#This Row],[Year]],costs[#All],COLUMN(costs[CSF_Cost_5.4b]),FALSE)</f>
        <v>0</v>
      </c>
      <c r="U72" s="8" cm="1">
        <f t="array" ref="U72">(data[[#This Row],[ESFBudget]]+data[[#This Row],[CSFBudget]])/(SUMIFS(data[ESFBudget],data[Year],data[[#This Row],[Year]])+SUMIFS(data[CSFBudget],data[Year],data[[#This Row],[Year]]))*VLOOKUP(data[[#This Row],[Year]],costs[#All],COLUMN(costs[HD_Budget]),FALSE)</f>
        <v>9523.7186669258808</v>
      </c>
      <c r="V72" s="8" cm="1">
        <f t="array" ref="V72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72" s="8" cm="1">
        <f t="array" ref="W72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20019.245361089095</v>
      </c>
      <c r="X72" s="8" cm="1">
        <f t="array" ref="X72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73" spans="1:24" x14ac:dyDescent="0.25">
      <c r="A73" t="str">
        <f>data[[#This Row],[Year]] &amp;"-"&amp;data[[#This Row],[State]]</f>
        <v>2025-Lithuania</v>
      </c>
      <c r="B73" s="50" t="s">
        <v>23</v>
      </c>
      <c r="C73">
        <v>2025</v>
      </c>
      <c r="D73" s="3">
        <v>2</v>
      </c>
      <c r="E73" s="3">
        <v>2</v>
      </c>
      <c r="F73" s="16">
        <v>2000</v>
      </c>
      <c r="G73" s="16" t="str" cm="1">
        <f t="array" ref="G73">_xlfn.IFS(ISERROR(MATCH(data[[#This Row],[UID]],CoTwo[UID],0)), "Not in CO2", ISERROR(MATCH(data[[#This Row],[UID]],gdp[UID],0)), "Not in GDP", TRUE, "")</f>
        <v/>
      </c>
      <c r="H73" s="8">
        <f>data[[#This Row],[ESFBudget]]+data[[#This Row],[CSFBudget]]+data[[#This Row],[HDBudget]]+data[[#This Row],[RFDBudget]]</f>
        <v>1405.4132010387652</v>
      </c>
      <c r="I73" s="8">
        <f>ROUND(data[[#This Row],[ESFActual]]+data[[#This Row],[CSFActual]]+data[[#This Row],[HDActual]]+data[[#This Row],[RFDActual]],2)</f>
        <v>0</v>
      </c>
      <c r="J73" s="6">
        <f>VLOOKUP(data[[#This Row],[UID]],gdp[],MATCH("Year-5",gdp[#Headers],0),FALSE)+VLOOKUP(data[[#This Row],[UID]],gdp[],MATCH("Year-4",gdp[#Headers],0),FALSE)+VLOOKUP(data[[#This Row],[UID]],gdp[],MATCH("Year-3",gdp[#Headers],0),FALSE)</f>
        <v>194.792</v>
      </c>
      <c r="K73" s="17" cm="1">
        <f t="array" ref="K73">VLOOKUP(data[[#This Row],[UID]],CoTwo[#All],COLUMN(CoTwo[ESF_CO2_TONNES]),FALSE)</f>
        <v>266406.49979999999</v>
      </c>
      <c r="L73" s="7">
        <f>IF(data[[#This Row],[ESF]]=2,1,0)*(0.7*data[[#This Row],[ESFe]]/SUMIFS(data[ESFe],data[Year],data[[#This Row],[Year]],data[ESF],2)+0.3*data[[#This Row],[GDP_3Years]]/SUMIFS(data[GDP_3Years],data[Year],data[[#This Row],[Year]],data[ESF],2))</f>
        <v>3.9513536642904398E-3</v>
      </c>
      <c r="M73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3.9513536642904398E-3</v>
      </c>
      <c r="N73" s="8" cm="1">
        <f t="array" ref="N73">data[[#This Row],[ESF%Budget]]*VLOOKUP(data[[#This Row],[Year]],costs[#All],COLUMN(costs[ESF_Budget]),FALSE)</f>
        <v>244.98392718600726</v>
      </c>
      <c r="O73" s="8" cm="1">
        <f t="array" ref="O73">data[[#This Row],[ESF%Actual]]*VLOOKUP(data[[#This Row],[Year]],costs[#All],COLUMN(costs[ESF_Cost_5.4b]),FALSE)</f>
        <v>0</v>
      </c>
      <c r="P73" s="17" cm="1">
        <f t="array" ref="P73">VLOOKUP(data[[#This Row],[UID]],CoTwo[#All],COLUMN(CoTwo[CSF_SET_CO2_TONNES]),FALSE)</f>
        <v>369517.33954999998</v>
      </c>
      <c r="Q73" s="51">
        <f>IF(data[[#This Row],[CSF]]=2,1,0)*(0.7*data[[#This Row],[CSFe]]/SUMIFS(data[CSFe],data[Year],data[[#This Row],[Year]],data[CSF],2)+0.3*data[[#This Row],[GDP_3Years]]/SUMIFS(data[GDP_3Years],data[Year],data[[#This Row],[Year]],data[CSF],2))</f>
        <v>2.6679310003347428E-3</v>
      </c>
      <c r="R73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2.6679310003347428E-3</v>
      </c>
      <c r="S73" s="8" cm="1">
        <f t="array" ref="S73">data[[#This Row],[CSF%Budget]]*VLOOKUP(data[[#This Row],[Year]],costs[#All],COLUMN(costs[CSF_Budget]),FALSE)</f>
        <v>133.39655001673714</v>
      </c>
      <c r="T73" s="8" cm="1">
        <f t="array" ref="T73">data[[#This Row],[CSF%Actual]]*VLOOKUP(data[[#This Row],[Year]],costs[#All],COLUMN(costs[CSF_Cost_5.4b]),FALSE)</f>
        <v>0</v>
      </c>
      <c r="U73" s="8" cm="1">
        <f t="array" ref="U73">(data[[#This Row],[ESFBudget]]+data[[#This Row],[CSFBudget]])/(SUMIFS(data[ESFBudget],data[Year],data[[#This Row],[Year]])+SUMIFS(data[CSFBudget],data[Year],data[[#This Row],[Year]]))*VLOOKUP(data[[#This Row],[Year]],costs[#All],COLUMN(costs[HD_Budget]),FALSE)</f>
        <v>331.0829175524014</v>
      </c>
      <c r="V73" s="8" cm="1">
        <f t="array" ref="V73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73" s="8" cm="1">
        <f t="array" ref="W73">(data[[#This Row],[ESFBudget]]+data[[#This Row],[CSFBudget]])/(SUMIFS(data[ESFBudget],data[Year],data[[#This Row],[Year]])+SUMIFS(data[CSFBudget],data[Year],data[[#This Row],[Year]]))*VLOOKUP(data[[#This Row],[Year]],costs[#All],COLUMN(costs[RFD_Budget]),FALSE)</f>
        <v>695.9498062836193</v>
      </c>
      <c r="X73" s="8" cm="1">
        <f t="array" ref="X73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74" spans="1:24" x14ac:dyDescent="0.25">
      <c r="A74" t="str">
        <f>data[[#This Row],[Year]] &amp;"-"&amp;data[[#This Row],[State]]</f>
        <v>2025-Luxembourg</v>
      </c>
      <c r="B74" s="50" t="s">
        <v>24</v>
      </c>
      <c r="C74">
        <v>2025</v>
      </c>
      <c r="D74" s="3">
        <v>2</v>
      </c>
      <c r="E74" s="3">
        <v>2</v>
      </c>
      <c r="F74" s="16">
        <v>6000</v>
      </c>
      <c r="G74" s="16" t="str" cm="1">
        <f t="array" ref="G74">_xlfn.IFS(ISERROR(MATCH(data[[#This Row],[UID]],CoTwo[UID],0)), "Not in CO2", ISERROR(MATCH(data[[#This Row],[UID]],gdp[UID],0)), "Not in GDP", TRUE, "")</f>
        <v/>
      </c>
      <c r="H74" s="8">
        <f>data[[#This Row],[ESFBudget]]+data[[#This Row],[CSFBudget]]+data[[#This Row],[HDBudget]]+data[[#This Row],[RFDBudget]]</f>
        <v>2579.4493947877745</v>
      </c>
      <c r="I74" s="8">
        <f>ROUND(data[[#This Row],[ESFActual]]+data[[#This Row],[CSFActual]]+data[[#This Row],[HDActual]]+data[[#This Row],[RFDActual]],2)</f>
        <v>0</v>
      </c>
      <c r="J74" s="6">
        <f>VLOOKUP(data[[#This Row],[UID]],gdp[],MATCH("Year-5",gdp[#Headers],0),FALSE)+VLOOKUP(data[[#This Row],[UID]],gdp[],MATCH("Year-4",gdp[#Headers],0),FALSE)+VLOOKUP(data[[#This Row],[UID]],gdp[],MATCH("Year-3",gdp[#Headers],0),FALSE)</f>
        <v>240.98700000000002</v>
      </c>
      <c r="K74" s="17" cm="1">
        <f t="array" ref="K74">VLOOKUP(data[[#This Row],[UID]],CoTwo[#All],COLUMN(CoTwo[ESF_CO2_TONNES]),FALSE)</f>
        <v>221926.59405000001</v>
      </c>
      <c r="L74" s="7">
        <f>IF(data[[#This Row],[ESF]]=2,1,0)*(0.7*data[[#This Row],[ESFe]]/SUMIFS(data[ESFe],data[Year],data[[#This Row],[Year]],data[ESF],2)+0.3*data[[#This Row],[GDP_3Years]]/SUMIFS(data[GDP_3Years],data[Year],data[[#This Row],[Year]],data[ESF],2))</f>
        <v>3.6870624368762111E-3</v>
      </c>
      <c r="M74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3.6870624368762111E-3</v>
      </c>
      <c r="N74" s="8" cm="1">
        <f t="array" ref="N74">data[[#This Row],[ESF%Budget]]*VLOOKUP(data[[#This Row],[Year]],costs[#All],COLUMN(costs[ESF_Budget]),FALSE)</f>
        <v>228.59787108632509</v>
      </c>
      <c r="O74" s="8" cm="1">
        <f t="array" ref="O74">data[[#This Row],[ESF%Actual]]*VLOOKUP(data[[#This Row],[Year]],costs[#All],COLUMN(costs[ESF_Cost_5.4b]),FALSE)</f>
        <v>0</v>
      </c>
      <c r="P74" s="17" cm="1">
        <f t="array" ref="P74">VLOOKUP(data[[#This Row],[UID]],CoTwo[#All],COLUMN(CoTwo[CSF_SET_CO2_TONNES]),FALSE)</f>
        <v>1773174.3649500001</v>
      </c>
      <c r="Q74" s="51">
        <f>IF(data[[#This Row],[CSF]]=2,1,0)*(0.7*data[[#This Row],[CSFe]]/SUMIFS(data[CSFe],data[Year],data[[#This Row],[Year]],data[CSF],2)+0.3*data[[#This Row],[GDP_3Years]]/SUMIFS(data[GDP_3Years],data[Year],data[[#This Row],[Year]],data[CSF],2))</f>
        <v>9.3173854732845878E-3</v>
      </c>
      <c r="R74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9.3173854732845878E-3</v>
      </c>
      <c r="S74" s="8" cm="1">
        <f t="array" ref="S74">data[[#This Row],[CSF%Budget]]*VLOOKUP(data[[#This Row],[Year]],costs[#All],COLUMN(costs[CSF_Budget]),FALSE)</f>
        <v>465.86927366422941</v>
      </c>
      <c r="T74" s="8" cm="1">
        <f t="array" ref="T74">data[[#This Row],[CSF%Actual]]*VLOOKUP(data[[#This Row],[Year]],costs[#All],COLUMN(costs[CSF_Cost_5.4b]),FALSE)</f>
        <v>0</v>
      </c>
      <c r="U74" s="8" cm="1">
        <f t="array" ref="U74">(data[[#This Row],[ESFBudget]]+data[[#This Row],[CSFBudget]])/(SUMIFS(data[ESFBudget],data[Year],data[[#This Row],[Year]])+SUMIFS(data[CSFBudget],data[Year],data[[#This Row],[Year]]))*VLOOKUP(data[[#This Row],[Year]],costs[#All],COLUMN(costs[HD_Budget]),FALSE)</f>
        <v>607.65875165673538</v>
      </c>
      <c r="V74" s="8" cm="1">
        <f t="array" ref="V74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74" s="8" cm="1">
        <f t="array" ref="W74">(data[[#This Row],[ESFBudget]]+data[[#This Row],[CSFBudget]])/(SUMIFS(data[ESFBudget],data[Year],data[[#This Row],[Year]])+SUMIFS(data[CSFBudget],data[Year],data[[#This Row],[Year]]))*VLOOKUP(data[[#This Row],[Year]],costs[#All],COLUMN(costs[RFD_Budget]),FALSE)</f>
        <v>1277.3234983804846</v>
      </c>
      <c r="X74" s="8" cm="1">
        <f t="array" ref="X74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75" spans="1:24" x14ac:dyDescent="0.25">
      <c r="A75" t="str">
        <f>data[[#This Row],[Year]] &amp;"-"&amp;data[[#This Row],[State]]</f>
        <v>2025-Malta</v>
      </c>
      <c r="B75" s="50" t="s">
        <v>25</v>
      </c>
      <c r="C75">
        <v>2025</v>
      </c>
      <c r="D75" s="3">
        <v>2</v>
      </c>
      <c r="E75" s="3">
        <v>2</v>
      </c>
      <c r="F75" s="16">
        <v>2000</v>
      </c>
      <c r="G75" s="16" t="str" cm="1">
        <f t="array" ref="G75">_xlfn.IFS(ISERROR(MATCH(data[[#This Row],[UID]],CoTwo[UID],0)), "Not in CO2", ISERROR(MATCH(data[[#This Row],[UID]],gdp[UID],0)), "Not in GDP", TRUE, "")</f>
        <v/>
      </c>
      <c r="H75" s="8">
        <f>data[[#This Row],[ESFBudget]]+data[[#This Row],[CSFBudget]]+data[[#This Row],[HDBudget]]+data[[#This Row],[RFDBudget]]</f>
        <v>1553.9327688656313</v>
      </c>
      <c r="I75" s="8">
        <f>ROUND(data[[#This Row],[ESFActual]]+data[[#This Row],[CSFActual]]+data[[#This Row],[HDActual]]+data[[#This Row],[RFDActual]],2)</f>
        <v>0</v>
      </c>
      <c r="J75" s="6">
        <f>VLOOKUP(data[[#This Row],[UID]],gdp[],MATCH("Year-5",gdp[#Headers],0),FALSE)+VLOOKUP(data[[#This Row],[UID]],gdp[],MATCH("Year-4",gdp[#Headers],0),FALSE)+VLOOKUP(data[[#This Row],[UID]],gdp[],MATCH("Year-3",gdp[#Headers],0),FALSE)</f>
        <v>51.745999999999995</v>
      </c>
      <c r="K75" s="17" cm="1">
        <f t="array" ref="K75">VLOOKUP(data[[#This Row],[UID]],CoTwo[#All],COLUMN(CoTwo[ESF_CO2_TONNES]),FALSE)</f>
        <v>409600.60784999997</v>
      </c>
      <c r="L75" s="7">
        <f>IF(data[[#This Row],[ESF]]=2,1,0)*(0.7*data[[#This Row],[ESFe]]/SUMIFS(data[ESFe],data[Year],data[[#This Row],[Year]],data[ESF],2)+0.3*data[[#This Row],[GDP_3Years]]/SUMIFS(data[GDP_3Years],data[Year],data[[#This Row],[Year]],data[ESF],2))</f>
        <v>4.8306666704403759E-3</v>
      </c>
      <c r="M75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4.8306666704403759E-3</v>
      </c>
      <c r="N75" s="8" cm="1">
        <f t="array" ref="N75">data[[#This Row],[ESF%Budget]]*VLOOKUP(data[[#This Row],[Year]],costs[#All],COLUMN(costs[ESF_Budget]),FALSE)</f>
        <v>299.50133356730333</v>
      </c>
      <c r="O75" s="8" cm="1">
        <f t="array" ref="O75">data[[#This Row],[ESF%Actual]]*VLOOKUP(data[[#This Row],[Year]],costs[#All],COLUMN(costs[ESF_Cost_5.4b]),FALSE)</f>
        <v>0</v>
      </c>
      <c r="P75" s="17" cm="1">
        <f t="array" ref="P75">VLOOKUP(data[[#This Row],[UID]],CoTwo[#All],COLUMN(CoTwo[CSF_SET_CO2_TONNES]),FALSE)</f>
        <v>463123.47224999999</v>
      </c>
      <c r="Q75" s="51">
        <f>IF(data[[#This Row],[CSF]]=2,1,0)*(0.7*data[[#This Row],[CSFe]]/SUMIFS(data[CSFe],data[Year],data[[#This Row],[Year]],data[CSF],2)+0.3*data[[#This Row],[GDP_3Years]]/SUMIFS(data[GDP_3Years],data[Year],data[[#This Row],[Year]],data[CSF],2))</f>
        <v>2.377303622545793E-3</v>
      </c>
      <c r="R75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2.377303622545793E-3</v>
      </c>
      <c r="S75" s="8" cm="1">
        <f t="array" ref="S75">data[[#This Row],[CSF%Budget]]*VLOOKUP(data[[#This Row],[Year]],costs[#All],COLUMN(costs[CSF_Budget]),FALSE)</f>
        <v>118.86518112728965</v>
      </c>
      <c r="T75" s="8" cm="1">
        <f t="array" ref="T75">data[[#This Row],[CSF%Actual]]*VLOOKUP(data[[#This Row],[Year]],costs[#All],COLUMN(costs[CSF_Cost_5.4b]),FALSE)</f>
        <v>0</v>
      </c>
      <c r="U75" s="8" cm="1">
        <f t="array" ref="U75">(data[[#This Row],[ESFBudget]]+data[[#This Row],[CSFBudget]])/(SUMIFS(data[ESFBudget],data[Year],data[[#This Row],[Year]])+SUMIFS(data[CSFBudget],data[Year],data[[#This Row],[Year]]))*VLOOKUP(data[[#This Row],[Year]],costs[#All],COLUMN(costs[HD_Budget]),FALSE)</f>
        <v>366.07070035776894</v>
      </c>
      <c r="V75" s="8" cm="1">
        <f t="array" ref="V75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75" s="8" cm="1">
        <f t="array" ref="W75">(data[[#This Row],[ESFBudget]]+data[[#This Row],[CSFBudget]])/(SUMIFS(data[ESFBudget],data[Year],data[[#This Row],[Year]])+SUMIFS(data[CSFBudget],data[Year],data[[#This Row],[Year]]))*VLOOKUP(data[[#This Row],[Year]],costs[#All],COLUMN(costs[RFD_Budget]),FALSE)</f>
        <v>769.49555381326945</v>
      </c>
      <c r="X75" s="8" cm="1">
        <f t="array" ref="X75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76" spans="1:24" x14ac:dyDescent="0.25">
      <c r="A76" t="str">
        <f>data[[#This Row],[Year]] &amp;"-"&amp;data[[#This Row],[State]]</f>
        <v>2025-Netherlands</v>
      </c>
      <c r="B76" s="50" t="s">
        <v>26</v>
      </c>
      <c r="C76">
        <v>2025</v>
      </c>
      <c r="D76" s="3">
        <v>2</v>
      </c>
      <c r="E76" s="3">
        <v>2</v>
      </c>
      <c r="F76" s="16">
        <v>33000</v>
      </c>
      <c r="G76" s="16" t="str" cm="1">
        <f t="array" ref="G76">_xlfn.IFS(ISERROR(MATCH(data[[#This Row],[UID]],CoTwo[UID],0)), "Not in CO2", ISERROR(MATCH(data[[#This Row],[UID]],gdp[UID],0)), "Not in GDP", TRUE, "")</f>
        <v/>
      </c>
      <c r="H76" s="8">
        <f>data[[#This Row],[ESFBudget]]+data[[#This Row],[CSFBudget]]+data[[#This Row],[HDBudget]]+data[[#This Row],[RFDBudget]]</f>
        <v>20108.880169587715</v>
      </c>
      <c r="I76" s="8">
        <f>ROUND(data[[#This Row],[ESFActual]]+data[[#This Row],[CSFActual]]+data[[#This Row],[HDActual]]+data[[#This Row],[RFDActual]],2)</f>
        <v>0</v>
      </c>
      <c r="J76" s="6">
        <f>VLOOKUP(data[[#This Row],[UID]],gdp[],MATCH("Year-5",gdp[#Headers],0),FALSE)+VLOOKUP(data[[#This Row],[UID]],gdp[],MATCH("Year-4",gdp[#Headers],0),FALSE)+VLOOKUP(data[[#This Row],[UID]],gdp[],MATCH("Year-3",gdp[#Headers],0),FALSE)</f>
        <v>2949.6210000000001</v>
      </c>
      <c r="K76" s="17" cm="1">
        <f t="array" ref="K76">VLOOKUP(data[[#This Row],[UID]],CoTwo[#All],COLUMN(CoTwo[ESF_CO2_TONNES]),FALSE)</f>
        <v>2257841.8610999999</v>
      </c>
      <c r="L76" s="7">
        <f>IF(data[[#This Row],[ESF]]=2,1,0)*(0.7*data[[#This Row],[ESFe]]/SUMIFS(data[ESFe],data[Year],data[[#This Row],[Year]],data[ESF],2)+0.3*data[[#This Row],[GDP_3Years]]/SUMIFS(data[GDP_3Years],data[Year],data[[#This Row],[Year]],data[ESF],2))</f>
        <v>4.001251138103807E-2</v>
      </c>
      <c r="M76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4.001251138103807E-2</v>
      </c>
      <c r="N76" s="8" cm="1">
        <f t="array" ref="N76">data[[#This Row],[ESF%Budget]]*VLOOKUP(data[[#This Row],[Year]],costs[#All],COLUMN(costs[ESF_Budget]),FALSE)</f>
        <v>2480.7757056243604</v>
      </c>
      <c r="O76" s="8" cm="1">
        <f t="array" ref="O76">data[[#This Row],[ESF%Actual]]*VLOOKUP(data[[#This Row],[Year]],costs[#All],COLUMN(costs[ESF_Cost_5.4b]),FALSE)</f>
        <v>0</v>
      </c>
      <c r="P76" s="17" cm="1">
        <f t="array" ref="P76">VLOOKUP(data[[#This Row],[UID]],CoTwo[#All],COLUMN(CoTwo[CSF_SET_CO2_TONNES]),FALSE)</f>
        <v>9590246.7583499998</v>
      </c>
      <c r="Q76" s="51">
        <f>IF(data[[#This Row],[CSF]]=2,1,0)*(0.7*data[[#This Row],[CSFe]]/SUMIFS(data[CSFe],data[Year],data[[#This Row],[Year]],data[CSF],2)+0.3*data[[#This Row],[GDP_3Years]]/SUMIFS(data[GDP_3Years],data[Year],data[[#This Row],[Year]],data[CSF],2))</f>
        <v>5.8663071416062029E-2</v>
      </c>
      <c r="R76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5.8663071416062029E-2</v>
      </c>
      <c r="S76" s="8" cm="1">
        <f t="array" ref="S76">data[[#This Row],[CSF%Budget]]*VLOOKUP(data[[#This Row],[Year]],costs[#All],COLUMN(costs[CSF_Budget]),FALSE)</f>
        <v>2933.1535708031015</v>
      </c>
      <c r="T76" s="8" cm="1">
        <f t="array" ref="T76">data[[#This Row],[CSF%Actual]]*VLOOKUP(data[[#This Row],[Year]],costs[#All],COLUMN(costs[CSF_Cost_5.4b]),FALSE)</f>
        <v>0</v>
      </c>
      <c r="U76" s="8" cm="1">
        <f t="array" ref="U76">(data[[#This Row],[ESFBudget]]+data[[#This Row],[CSFBudget]])/(SUMIFS(data[ESFBudget],data[Year],data[[#This Row],[Year]])+SUMIFS(data[CSFBudget],data[Year],data[[#This Row],[Year]]))*VLOOKUP(data[[#This Row],[Year]],costs[#All],COLUMN(costs[HD_Budget]),FALSE)</f>
        <v>4737.1881168740292</v>
      </c>
      <c r="V76" s="8" cm="1">
        <f t="array" ref="V76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76" s="8" cm="1">
        <f t="array" ref="W76">(data[[#This Row],[ESFBudget]]+data[[#This Row],[CSFBudget]])/(SUMIFS(data[ESFBudget],data[Year],data[[#This Row],[Year]])+SUMIFS(data[CSFBudget],data[Year],data[[#This Row],[Year]]))*VLOOKUP(data[[#This Row],[Year]],costs[#All],COLUMN(costs[RFD_Budget]),FALSE)</f>
        <v>9957.7627762862248</v>
      </c>
      <c r="X76" s="8" cm="1">
        <f t="array" ref="X76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77" spans="1:24" x14ac:dyDescent="0.25">
      <c r="A77" t="str">
        <f>data[[#This Row],[Year]] &amp;"-"&amp;data[[#This Row],[State]]</f>
        <v>2025-Norway</v>
      </c>
      <c r="B77" s="50" t="s">
        <v>27</v>
      </c>
      <c r="C77">
        <v>2025</v>
      </c>
      <c r="D77" s="3">
        <v>2</v>
      </c>
      <c r="E77" s="3">
        <v>2</v>
      </c>
      <c r="F77" s="16">
        <v>12000</v>
      </c>
      <c r="G77" s="16" t="str" cm="1">
        <f t="array" ref="G77">_xlfn.IFS(ISERROR(MATCH(data[[#This Row],[UID]],CoTwo[UID],0)), "Not in CO2", ISERROR(MATCH(data[[#This Row],[UID]],gdp[UID],0)), "Not in GDP", TRUE, "")</f>
        <v/>
      </c>
      <c r="H77" s="8">
        <f>data[[#This Row],[ESFBudget]]+data[[#This Row],[CSFBudget]]+data[[#This Row],[HDBudget]]+data[[#This Row],[RFDBudget]]</f>
        <v>9483.5207071178338</v>
      </c>
      <c r="I77" s="8">
        <f>ROUND(data[[#This Row],[ESFActual]]+data[[#This Row],[CSFActual]]+data[[#This Row],[HDActual]]+data[[#This Row],[RFDActual]],2)</f>
        <v>0</v>
      </c>
      <c r="J77" s="6">
        <f>VLOOKUP(data[[#This Row],[UID]],gdp[],MATCH("Year-5",gdp[#Headers],0),FALSE)+VLOOKUP(data[[#This Row],[UID]],gdp[],MATCH("Year-4",gdp[#Headers],0),FALSE)+VLOOKUP(data[[#This Row],[UID]],gdp[],MATCH("Year-3",gdp[#Headers],0),FALSE)</f>
        <v>1464.7280000000001</v>
      </c>
      <c r="K77" s="17" cm="1">
        <f t="array" ref="K77">VLOOKUP(data[[#This Row],[UID]],CoTwo[#All],COLUMN(CoTwo[ESF_CO2_TONNES]),FALSE)</f>
        <v>1956212.0518499999</v>
      </c>
      <c r="L77" s="7">
        <f>IF(data[[#This Row],[ESF]]=2,1,0)*(0.7*data[[#This Row],[ESFe]]/SUMIFS(data[ESFe],data[Year],data[[#This Row],[Year]],data[ESF],2)+0.3*data[[#This Row],[GDP_3Years]]/SUMIFS(data[GDP_3Years],data[Year],data[[#This Row],[Year]],data[ESF],2))</f>
        <v>2.9187326750083273E-2</v>
      </c>
      <c r="M77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2.9187326750083273E-2</v>
      </c>
      <c r="N77" s="8" cm="1">
        <f t="array" ref="N77">data[[#This Row],[ESF%Budget]]*VLOOKUP(data[[#This Row],[Year]],costs[#All],COLUMN(costs[ESF_Budget]),FALSE)</f>
        <v>1809.614258505163</v>
      </c>
      <c r="O77" s="8" cm="1">
        <f t="array" ref="O77">data[[#This Row],[ESF%Actual]]*VLOOKUP(data[[#This Row],[Year]],costs[#All],COLUMN(costs[ESF_Cost_5.4b]),FALSE)</f>
        <v>0</v>
      </c>
      <c r="P77" s="17" cm="1">
        <f t="array" ref="P77">VLOOKUP(data[[#This Row],[UID]],CoTwo[#All],COLUMN(CoTwo[CSF_SET_CO2_TONNES]),FALSE)</f>
        <v>1643693.0520500001</v>
      </c>
      <c r="Q77" s="51">
        <f>IF(data[[#This Row],[CSF]]=2,1,0)*(0.7*data[[#This Row],[CSFe]]/SUMIFS(data[CSFe],data[Year],data[[#This Row],[Year]],data[CSF],2)+0.3*data[[#This Row],[GDP_3Years]]/SUMIFS(data[GDP_3Years],data[Year],data[[#This Row],[Year]],data[CSF],2))</f>
        <v>1.4872826329761996E-2</v>
      </c>
      <c r="R77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1.4872826329761996E-2</v>
      </c>
      <c r="S77" s="8" cm="1">
        <f t="array" ref="S77">data[[#This Row],[CSF%Budget]]*VLOOKUP(data[[#This Row],[Year]],costs[#All],COLUMN(costs[CSF_Budget]),FALSE)</f>
        <v>743.64131648809985</v>
      </c>
      <c r="T77" s="8" cm="1">
        <f t="array" ref="T77">data[[#This Row],[CSF%Actual]]*VLOOKUP(data[[#This Row],[Year]],costs[#All],COLUMN(costs[CSF_Cost_5.4b]),FALSE)</f>
        <v>0</v>
      </c>
      <c r="U77" s="8" cm="1">
        <f t="array" ref="U77">(data[[#This Row],[ESFBudget]]+data[[#This Row],[CSFBudget]])/(SUMIFS(data[ESFBudget],data[Year],data[[#This Row],[Year]])+SUMIFS(data[CSFBudget],data[Year],data[[#This Row],[Year]]))*VLOOKUP(data[[#This Row],[Year]],costs[#All],COLUMN(costs[HD_Budget]),FALSE)</f>
        <v>2234.0986281191053</v>
      </c>
      <c r="V77" s="8" cm="1">
        <f t="array" ref="V77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77" s="8" cm="1">
        <f t="array" ref="W77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4696.1665040054668</v>
      </c>
      <c r="X77" s="8" cm="1">
        <f t="array" ref="X77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78" spans="1:24" x14ac:dyDescent="0.25">
      <c r="A78" t="str">
        <f>data[[#This Row],[Year]] &amp;"-"&amp;data[[#This Row],[State]]</f>
        <v>2025-Portugal</v>
      </c>
      <c r="B78" s="50" t="s">
        <v>28</v>
      </c>
      <c r="C78">
        <v>2025</v>
      </c>
      <c r="D78" s="3">
        <v>2</v>
      </c>
      <c r="E78" s="3">
        <v>2</v>
      </c>
      <c r="F78" s="16">
        <v>16000</v>
      </c>
      <c r="G78" s="16" t="str" cm="1">
        <f t="array" ref="G78">_xlfn.IFS(ISERROR(MATCH(data[[#This Row],[UID]],CoTwo[UID],0)), "Not in CO2", ISERROR(MATCH(data[[#This Row],[UID]],gdp[UID],0)), "Not in GDP", TRUE, "")</f>
        <v/>
      </c>
      <c r="H78" s="8">
        <f>data[[#This Row],[ESFBudget]]+data[[#This Row],[CSFBudget]]+data[[#This Row],[HDBudget]]+data[[#This Row],[RFDBudget]]</f>
        <v>12271.363354268675</v>
      </c>
      <c r="I78" s="8">
        <f>ROUND(data[[#This Row],[ESFActual]]+data[[#This Row],[CSFActual]]+data[[#This Row],[HDActual]]+data[[#This Row],[RFDActual]],2)</f>
        <v>0</v>
      </c>
      <c r="J78" s="6">
        <f>VLOOKUP(data[[#This Row],[UID]],gdp[],MATCH("Year-5",gdp[#Headers],0),FALSE)+VLOOKUP(data[[#This Row],[UID]],gdp[],MATCH("Year-4",gdp[#Headers],0),FALSE)+VLOOKUP(data[[#This Row],[UID]],gdp[],MATCH("Year-3",gdp[#Headers],0),FALSE)</f>
        <v>739.952</v>
      </c>
      <c r="K78" s="17" cm="1">
        <f t="array" ref="K78">VLOOKUP(data[[#This Row],[UID]],CoTwo[#All],COLUMN(CoTwo[ESF_CO2_TONNES]),FALSE)</f>
        <v>2565376.7863500002</v>
      </c>
      <c r="L78" s="7">
        <f>IF(data[[#This Row],[ESF]]=2,1,0)*(0.7*data[[#This Row],[ESFe]]/SUMIFS(data[ESFe],data[Year],data[[#This Row],[Year]],data[ESF],2)+0.3*data[[#This Row],[GDP_3Years]]/SUMIFS(data[GDP_3Years],data[Year],data[[#This Row],[Year]],data[ESF],2))</f>
        <v>3.2344094589249958E-2</v>
      </c>
      <c r="M78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3.2344094589249958E-2</v>
      </c>
      <c r="N78" s="8" cm="1">
        <f t="array" ref="N78">data[[#This Row],[ESF%Budget]]*VLOOKUP(data[[#This Row],[Year]],costs[#All],COLUMN(costs[ESF_Budget]),FALSE)</f>
        <v>2005.3338645334975</v>
      </c>
      <c r="O78" s="8" cm="1">
        <f t="array" ref="O78">data[[#This Row],[ESF%Actual]]*VLOOKUP(data[[#This Row],[Year]],costs[#All],COLUMN(costs[ESF_Cost_5.4b]),FALSE)</f>
        <v>0</v>
      </c>
      <c r="P78" s="17" cm="1">
        <f t="array" ref="P78">VLOOKUP(data[[#This Row],[UID]],CoTwo[#All],COLUMN(CoTwo[CSF_SET_CO2_TONNES]),FALSE)</f>
        <v>4867279.9790000003</v>
      </c>
      <c r="Q78" s="51">
        <f>IF(data[[#This Row],[CSF]]=2,1,0)*(0.7*data[[#This Row],[CSFe]]/SUMIFS(data[CSFe],data[Year],data[[#This Row],[Year]],data[CSF],2)+0.3*data[[#This Row],[GDP_3Years]]/SUMIFS(data[GDP_3Years],data[Year],data[[#This Row],[Year]],data[CSF],2))</f>
        <v>2.5969894616930597E-2</v>
      </c>
      <c r="R78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2.5969894616930597E-2</v>
      </c>
      <c r="S78" s="8" cm="1">
        <f t="array" ref="S78">data[[#This Row],[CSF%Budget]]*VLOOKUP(data[[#This Row],[Year]],costs[#All],COLUMN(costs[CSF_Budget]),FALSE)</f>
        <v>1298.4947308465298</v>
      </c>
      <c r="T78" s="8" cm="1">
        <f t="array" ref="T78">data[[#This Row],[CSF%Actual]]*VLOOKUP(data[[#This Row],[Year]],costs[#All],COLUMN(costs[CSF_Cost_5.4b]),FALSE)</f>
        <v>0</v>
      </c>
      <c r="U78" s="8" cm="1">
        <f t="array" ref="U78">(data[[#This Row],[ESFBudget]]+data[[#This Row],[CSFBudget]])/(SUMIFS(data[ESFBudget],data[Year],data[[#This Row],[Year]])+SUMIFS(data[CSFBudget],data[Year],data[[#This Row],[Year]]))*VLOOKUP(data[[#This Row],[Year]],costs[#All],COLUMN(costs[HD_Budget]),FALSE)</f>
        <v>2890.8500209575245</v>
      </c>
      <c r="V78" s="8" cm="1">
        <f t="array" ref="V78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78" s="8" cm="1">
        <f t="array" ref="W78">(data[[#This Row],[ESFBudget]]+data[[#This Row],[CSFBudget]])/(SUMIFS(data[ESFBudget],data[Year],data[[#This Row],[Year]])+SUMIFS(data[CSFBudget],data[Year],data[[#This Row],[Year]]))*VLOOKUP(data[[#This Row],[Year]],costs[#All],COLUMN(costs[RFD_Budget]),FALSE)</f>
        <v>6076.684737931123</v>
      </c>
      <c r="X78" s="8" cm="1">
        <f t="array" ref="X78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79" spans="1:24" x14ac:dyDescent="0.25">
      <c r="A79" t="str">
        <f>data[[#This Row],[Year]] &amp;"-"&amp;data[[#This Row],[State]]</f>
        <v>2025-Romania</v>
      </c>
      <c r="B79" s="50" t="s">
        <v>29</v>
      </c>
      <c r="C79">
        <v>2025</v>
      </c>
      <c r="D79" s="3">
        <v>2</v>
      </c>
      <c r="E79" s="3">
        <v>2</v>
      </c>
      <c r="F79" s="16">
        <v>9000</v>
      </c>
      <c r="G79" s="16" t="str" cm="1">
        <f t="array" ref="G79">_xlfn.IFS(ISERROR(MATCH(data[[#This Row],[UID]],CoTwo[UID],0)), "Not in CO2", ISERROR(MATCH(data[[#This Row],[UID]],gdp[UID],0)), "Not in GDP", TRUE, "")</f>
        <v/>
      </c>
      <c r="H79" s="8">
        <f>data[[#This Row],[ESFBudget]]+data[[#This Row],[CSFBudget]]+data[[#This Row],[HDBudget]]+data[[#This Row],[RFDBudget]]</f>
        <v>5720.3552347865425</v>
      </c>
      <c r="I79" s="8">
        <f>ROUND(data[[#This Row],[ESFActual]]+data[[#This Row],[CSFActual]]+data[[#This Row],[HDActual]]+data[[#This Row],[RFDActual]],2)</f>
        <v>0</v>
      </c>
      <c r="J79" s="6">
        <f>VLOOKUP(data[[#This Row],[UID]],gdp[],MATCH("Year-5",gdp[#Headers],0),FALSE)+VLOOKUP(data[[#This Row],[UID]],gdp[],MATCH("Year-4",gdp[#Headers],0),FALSE)+VLOOKUP(data[[#This Row],[UID]],gdp[],MATCH("Year-3",gdp[#Headers],0),FALSE)</f>
        <v>838.98699999999997</v>
      </c>
      <c r="K79" s="17" cm="1">
        <f t="array" ref="K79">VLOOKUP(data[[#This Row],[UID]],CoTwo[#All],COLUMN(CoTwo[ESF_CO2_TONNES]),FALSE)</f>
        <v>1112307.3359999999</v>
      </c>
      <c r="L79" s="7">
        <f>IF(data[[#This Row],[ESF]]=2,1,0)*(0.7*data[[#This Row],[ESFe]]/SUMIFS(data[ESFe],data[Year],data[[#This Row],[Year]],data[ESF],2)+0.3*data[[#This Row],[GDP_3Years]]/SUMIFS(data[GDP_3Years],data[Year],data[[#This Row],[Year]],data[ESF],2))</f>
        <v>1.6626829030222983E-2</v>
      </c>
      <c r="M79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1.6626829030222983E-2</v>
      </c>
      <c r="N79" s="8" cm="1">
        <f t="array" ref="N79">data[[#This Row],[ESF%Budget]]*VLOOKUP(data[[#This Row],[Year]],costs[#All],COLUMN(costs[ESF_Budget]),FALSE)</f>
        <v>1030.8633998738248</v>
      </c>
      <c r="O79" s="8" cm="1">
        <f t="array" ref="O79">data[[#This Row],[ESF%Actual]]*VLOOKUP(data[[#This Row],[Year]],costs[#All],COLUMN(costs[ESF_Cost_5.4b]),FALSE)</f>
        <v>0</v>
      </c>
      <c r="P79" s="17" cm="1">
        <f t="array" ref="P79">VLOOKUP(data[[#This Row],[UID]],CoTwo[#All],COLUMN(CoTwo[CSF_SET_CO2_TONNES]),FALSE)</f>
        <v>1305804.92175</v>
      </c>
      <c r="Q79" s="51">
        <f>IF(data[[#This Row],[CSF]]=2,1,0)*(0.7*data[[#This Row],[CSFe]]/SUMIFS(data[CSFe],data[Year],data[[#This Row],[Year]],data[CSF],2)+0.3*data[[#This Row],[GDP_3Years]]/SUMIFS(data[GDP_3Years],data[Year],data[[#This Row],[Year]],data[CSF],2))</f>
        <v>1.0184644805220263E-2</v>
      </c>
      <c r="R79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1.0184644805220263E-2</v>
      </c>
      <c r="S79" s="8" cm="1">
        <f t="array" ref="S79">data[[#This Row],[CSF%Budget]]*VLOOKUP(data[[#This Row],[Year]],costs[#All],COLUMN(costs[CSF_Budget]),FALSE)</f>
        <v>509.23224026101315</v>
      </c>
      <c r="T79" s="8" cm="1">
        <f t="array" ref="T79">data[[#This Row],[CSF%Actual]]*VLOOKUP(data[[#This Row],[Year]],costs[#All],COLUMN(costs[CSF_Cost_5.4b]),FALSE)</f>
        <v>0</v>
      </c>
      <c r="U79" s="8" cm="1">
        <f t="array" ref="U79">(data[[#This Row],[ESFBudget]]+data[[#This Row],[CSFBudget]])/(SUMIFS(data[ESFBudget],data[Year],data[[#This Row],[Year]])+SUMIFS(data[CSFBudget],data[Year],data[[#This Row],[Year]]))*VLOOKUP(data[[#This Row],[Year]],costs[#All],COLUMN(costs[HD_Budget]),FALSE)</f>
        <v>1347.5836851179838</v>
      </c>
      <c r="V79" s="8" cm="1">
        <f t="array" ref="V79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79" s="8" cm="1">
        <f t="array" ref="W79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2832.6759095337206</v>
      </c>
      <c r="X79" s="8" cm="1">
        <f t="array" ref="X79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80" spans="1:24" x14ac:dyDescent="0.25">
      <c r="A80" t="str">
        <f>data[[#This Row],[Year]] &amp;"-"&amp;data[[#This Row],[State]]</f>
        <v>2025-Slovakia</v>
      </c>
      <c r="B80" s="50" t="s">
        <v>80</v>
      </c>
      <c r="C80">
        <v>2025</v>
      </c>
      <c r="D80" s="3">
        <v>2</v>
      </c>
      <c r="E80" s="3">
        <v>2</v>
      </c>
      <c r="F80" s="16">
        <v>2000</v>
      </c>
      <c r="G80" s="16" t="str" cm="1">
        <f t="array" ref="G80">_xlfn.IFS(ISERROR(MATCH(data[[#This Row],[UID]],CoTwo[UID],0)), "Not in CO2", ISERROR(MATCH(data[[#This Row],[UID]],gdp[UID],0)), "Not in GDP", TRUE, "")</f>
        <v/>
      </c>
      <c r="H80" s="8">
        <f>data[[#This Row],[ESFBudget]]+data[[#This Row],[CSFBudget]]+data[[#This Row],[HDBudget]]+data[[#This Row],[RFDBudget]]</f>
        <v>1081.6245764151893</v>
      </c>
      <c r="I80" s="8">
        <f>ROUND(data[[#This Row],[ESFActual]]+data[[#This Row],[CSFActual]]+data[[#This Row],[HDActual]]+data[[#This Row],[RFDActual]],2)</f>
        <v>0</v>
      </c>
      <c r="J80" s="6">
        <f>VLOOKUP(data[[#This Row],[UID]],gdp[],MATCH("Year-5",gdp[#Headers],0),FALSE)+VLOOKUP(data[[#This Row],[UID]],gdp[],MATCH("Year-4",gdp[#Headers],0),FALSE)+VLOOKUP(data[[#This Row],[UID]],gdp[],MATCH("Year-3",gdp[#Headers],0),FALSE)</f>
        <v>340.85399999999998</v>
      </c>
      <c r="K80" s="17" cm="1">
        <f t="array" ref="K80">VLOOKUP(data[[#This Row],[UID]],CoTwo[#All],COLUMN(CoTwo[ESF_CO2_TONNES]),FALSE)</f>
        <v>94916.486699999994</v>
      </c>
      <c r="L80" s="7">
        <f>IF(data[[#This Row],[ESF]]=2,1,0)*(0.7*data[[#This Row],[ESFe]]/SUMIFS(data[ESFe],data[Year],data[[#This Row],[Year]],data[ESF],2)+0.3*data[[#This Row],[GDP_3Years]]/SUMIFS(data[GDP_3Years],data[Year],data[[#This Row],[Year]],data[ESF],2))</f>
        <v>2.7714381540575404E-3</v>
      </c>
      <c r="M80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2.7714381540575404E-3</v>
      </c>
      <c r="N80" s="8" cm="1">
        <f t="array" ref="N80">data[[#This Row],[ESF%Budget]]*VLOOKUP(data[[#This Row],[Year]],costs[#All],COLUMN(costs[ESF_Budget]),FALSE)</f>
        <v>171.82916555156751</v>
      </c>
      <c r="O80" s="8" cm="1">
        <f t="array" ref="O80">data[[#This Row],[ESF%Actual]]*VLOOKUP(data[[#This Row],[Year]],costs[#All],COLUMN(costs[ESF_Cost_5.4b]),FALSE)</f>
        <v>0</v>
      </c>
      <c r="P80" s="17" cm="1">
        <f t="array" ref="P80">VLOOKUP(data[[#This Row],[UID]],CoTwo[#All],COLUMN(CoTwo[CSF_SET_CO2_TONNES]),FALSE)</f>
        <v>147702.22255000001</v>
      </c>
      <c r="Q80" s="51">
        <f>IF(data[[#This Row],[CSF]]=2,1,0)*(0.7*data[[#This Row],[CSFe]]/SUMIFS(data[CSFe],data[Year],data[[#This Row],[Year]],data[CSF],2)+0.3*data[[#This Row],[GDP_3Years]]/SUMIFS(data[GDP_3Years],data[Year],data[[#This Row],[Year]],data[CSF],2))</f>
        <v>2.3875490235119763E-3</v>
      </c>
      <c r="R80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2.3875490235119763E-3</v>
      </c>
      <c r="S80" s="8" cm="1">
        <f t="array" ref="S80">data[[#This Row],[CSF%Budget]]*VLOOKUP(data[[#This Row],[Year]],costs[#All],COLUMN(costs[CSF_Budget]),FALSE)</f>
        <v>119.37745117559882</v>
      </c>
      <c r="T80" s="8" cm="1">
        <f t="array" ref="T80">data[[#This Row],[CSF%Actual]]*VLOOKUP(data[[#This Row],[Year]],costs[#All],COLUMN(costs[CSF_Cost_5.4b]),FALSE)</f>
        <v>0</v>
      </c>
      <c r="U80" s="8" cm="1">
        <f t="array" ref="U80">(data[[#This Row],[ESFBudget]]+data[[#This Row],[CSFBudget]])/(SUMIFS(data[ESFBudget],data[Year],data[[#This Row],[Year]])+SUMIFS(data[CSFBudget],data[Year],data[[#This Row],[Year]]))*VLOOKUP(data[[#This Row],[Year]],costs[#All],COLUMN(costs[HD_Budget]),FALSE)</f>
        <v>254.80578963627059</v>
      </c>
      <c r="V80" s="8" cm="1">
        <f t="array" ref="V80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80" s="8" cm="1">
        <f t="array" ref="W80">(data[[#This Row],[ESFBudget]]+data[[#This Row],[CSFBudget]])/(SUMIFS(data[ESFBudget],data[Year],data[[#This Row],[Year]])+SUMIFS(data[CSFBudget],data[Year],data[[#This Row],[Year]]))*VLOOKUP(data[[#This Row],[Year]],costs[#All],COLUMN(costs[RFD_Budget]),FALSE)</f>
        <v>535.6121700517524</v>
      </c>
      <c r="X80" s="8" cm="1">
        <f t="array" ref="X80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81" spans="1:24" x14ac:dyDescent="0.25">
      <c r="A81" t="str">
        <f>data[[#This Row],[Year]] &amp;"-"&amp;data[[#This Row],[State]]</f>
        <v>2025-Slovenia</v>
      </c>
      <c r="B81" s="50" t="s">
        <v>31</v>
      </c>
      <c r="C81">
        <v>2025</v>
      </c>
      <c r="D81" s="3">
        <v>2</v>
      </c>
      <c r="E81" s="3">
        <v>2</v>
      </c>
      <c r="F81" s="16">
        <v>1000</v>
      </c>
      <c r="G81" s="16" t="str" cm="1">
        <f t="array" ref="G81">_xlfn.IFS(ISERROR(MATCH(data[[#This Row],[UID]],CoTwo[UID],0)), "Not in CO2", ISERROR(MATCH(data[[#This Row],[UID]],gdp[UID],0)), "Not in GDP", TRUE, "")</f>
        <v/>
      </c>
      <c r="H81" s="8">
        <f>data[[#This Row],[ESFBudget]]+data[[#This Row],[CSFBudget]]+data[[#This Row],[HDBudget]]+data[[#This Row],[RFDBudget]]</f>
        <v>558.68322498890507</v>
      </c>
      <c r="I81" s="8">
        <f>ROUND(data[[#This Row],[ESFActual]]+data[[#This Row],[CSFActual]]+data[[#This Row],[HDActual]]+data[[#This Row],[RFDActual]],2)</f>
        <v>0</v>
      </c>
      <c r="J81" s="6">
        <f>VLOOKUP(data[[#This Row],[UID]],gdp[],MATCH("Year-5",gdp[#Headers],0),FALSE)+VLOOKUP(data[[#This Row],[UID]],gdp[],MATCH("Year-4",gdp[#Headers],0),FALSE)+VLOOKUP(data[[#This Row],[UID]],gdp[],MATCH("Year-3",gdp[#Headers],0),FALSE)</f>
        <v>175.67499999999998</v>
      </c>
      <c r="K81" s="17" cm="1">
        <f t="array" ref="K81">VLOOKUP(data[[#This Row],[UID]],CoTwo[#All],COLUMN(CoTwo[ESF_CO2_TONNES]),FALSE)</f>
        <v>46345.354650000001</v>
      </c>
      <c r="L81" s="7">
        <f>IF(data[[#This Row],[ESF]]=2,1,0)*(0.7*data[[#This Row],[ESFe]]/SUMIFS(data[ESFe],data[Year],data[[#This Row],[Year]],data[ESF],2)+0.3*data[[#This Row],[GDP_3Years]]/SUMIFS(data[GDP_3Years],data[Year],data[[#This Row],[Year]],data[ESF],2))</f>
        <v>1.3996635161148451E-3</v>
      </c>
      <c r="M81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1.3996635161148451E-3</v>
      </c>
      <c r="N81" s="8" cm="1">
        <f t="array" ref="N81">data[[#This Row],[ESF%Budget]]*VLOOKUP(data[[#This Row],[Year]],costs[#All],COLUMN(costs[ESF_Budget]),FALSE)</f>
        <v>86.779137999120394</v>
      </c>
      <c r="O81" s="8" cm="1">
        <f t="array" ref="O81">data[[#This Row],[ESF%Actual]]*VLOOKUP(data[[#This Row],[Year]],costs[#All],COLUMN(costs[ESF_Cost_5.4b]),FALSE)</f>
        <v>0</v>
      </c>
      <c r="P81" s="17" cm="1">
        <f t="array" ref="P81">VLOOKUP(data[[#This Row],[UID]],CoTwo[#All],COLUMN(CoTwo[CSF_SET_CO2_TONNES]),FALSE)</f>
        <v>85350.433250000002</v>
      </c>
      <c r="Q81" s="51">
        <f>IF(data[[#This Row],[CSF]]=2,1,0)*(0.7*data[[#This Row],[CSFe]]/SUMIFS(data[CSFe],data[Year],data[[#This Row],[Year]],data[CSF],2)+0.3*data[[#This Row],[GDP_3Years]]/SUMIFS(data[GDP_3Years],data[Year],data[[#This Row],[Year]],data[CSF],2))</f>
        <v>1.2727115284193885E-3</v>
      </c>
      <c r="R81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1.2727115284193885E-3</v>
      </c>
      <c r="S81" s="8" cm="1">
        <f t="array" ref="S81">data[[#This Row],[CSF%Budget]]*VLOOKUP(data[[#This Row],[Year]],costs[#All],COLUMN(costs[CSF_Budget]),FALSE)</f>
        <v>63.635576420969421</v>
      </c>
      <c r="T81" s="8" cm="1">
        <f t="array" ref="T81">data[[#This Row],[CSF%Actual]]*VLOOKUP(data[[#This Row],[Year]],costs[#All],COLUMN(costs[CSF_Cost_5.4b]),FALSE)</f>
        <v>0</v>
      </c>
      <c r="U81" s="8" cm="1">
        <f t="array" ref="U81">(data[[#This Row],[ESFBudget]]+data[[#This Row],[CSFBudget]])/(SUMIFS(data[ESFBudget],data[Year],data[[#This Row],[Year]])+SUMIFS(data[CSFBudget],data[Year],data[[#This Row],[Year]]))*VLOOKUP(data[[#This Row],[Year]],costs[#All],COLUMN(costs[HD_Budget]),FALSE)</f>
        <v>131.61287511757862</v>
      </c>
      <c r="V81" s="8" cm="1">
        <f t="array" ref="V81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81" s="8" cm="1">
        <f t="array" ref="W81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276.65563545123666</v>
      </c>
      <c r="X81" s="8" cm="1">
        <f t="array" ref="X81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82" spans="1:24" x14ac:dyDescent="0.25">
      <c r="A82" t="str">
        <f>data[[#This Row],[Year]] &amp;"-"&amp;data[[#This Row],[State]]</f>
        <v>2025-Spain</v>
      </c>
      <c r="B82" s="50" t="s">
        <v>32</v>
      </c>
      <c r="C82">
        <v>2025</v>
      </c>
      <c r="D82" s="3">
        <v>2</v>
      </c>
      <c r="E82" s="3">
        <v>2</v>
      </c>
      <c r="F82" s="16">
        <v>60000</v>
      </c>
      <c r="G82" s="16" t="str" cm="1">
        <f t="array" ref="G82">_xlfn.IFS(ISERROR(MATCH(data[[#This Row],[UID]],CoTwo[UID],0)), "Not in CO2", ISERROR(MATCH(data[[#This Row],[UID]],gdp[UID],0)), "Not in GDP", TRUE, "")</f>
        <v/>
      </c>
      <c r="H82" s="8">
        <f>data[[#This Row],[ESFBudget]]+data[[#This Row],[CSFBudget]]+data[[#This Row],[HDBudget]]+data[[#This Row],[RFDBudget]]</f>
        <v>46752.017356381002</v>
      </c>
      <c r="I82" s="8">
        <f>ROUND(data[[#This Row],[ESFActual]]+data[[#This Row],[CSFActual]]+data[[#This Row],[HDActual]]+data[[#This Row],[RFDActual]],2)</f>
        <v>0</v>
      </c>
      <c r="J82" s="6">
        <f>VLOOKUP(data[[#This Row],[UID]],gdp[],MATCH("Year-5",gdp[#Headers],0),FALSE)+VLOOKUP(data[[#This Row],[UID]],gdp[],MATCH("Year-4",gdp[#Headers],0),FALSE)+VLOOKUP(data[[#This Row],[UID]],gdp[],MATCH("Year-3",gdp[#Headers],0),FALSE)</f>
        <v>4142.6350000000002</v>
      </c>
      <c r="K82" s="17" cm="1">
        <f t="array" ref="K82">VLOOKUP(data[[#This Row],[UID]],CoTwo[#All],COLUMN(CoTwo[ESF_CO2_TONNES]),FALSE)</f>
        <v>9096424.7629499994</v>
      </c>
      <c r="L82" s="7">
        <f>IF(data[[#This Row],[ESF]]=2,1,0)*(0.7*data[[#This Row],[ESFe]]/SUMIFS(data[ESFe],data[Year],data[[#This Row],[Year]],data[ESF],2)+0.3*data[[#This Row],[GDP_3Years]]/SUMIFS(data[GDP_3Years],data[Year],data[[#This Row],[Year]],data[ESF],2))</f>
        <v>0.12231714229670948</v>
      </c>
      <c r="M82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0.12231714229670948</v>
      </c>
      <c r="N82" s="8" cm="1">
        <f t="array" ref="N82">data[[#This Row],[ESF%Budget]]*VLOOKUP(data[[#This Row],[Year]],costs[#All],COLUMN(costs[ESF_Budget]),FALSE)</f>
        <v>7583.6628223959879</v>
      </c>
      <c r="O82" s="8" cm="1">
        <f t="array" ref="O82">data[[#This Row],[ESF%Actual]]*VLOOKUP(data[[#This Row],[Year]],costs[#All],COLUMN(costs[ESF_Cost_5.4b]),FALSE)</f>
        <v>0</v>
      </c>
      <c r="P82" s="17" cm="1">
        <f t="array" ref="P82">VLOOKUP(data[[#This Row],[UID]],CoTwo[#All],COLUMN(CoTwo[CSF_SET_CO2_TONNES]),FALSE)</f>
        <v>17335856.589249998</v>
      </c>
      <c r="Q82" s="51">
        <f>IF(data[[#This Row],[CSF]]=2,1,0)*(0.7*data[[#This Row],[CSFe]]/SUMIFS(data[CSFe],data[Year],data[[#This Row],[Year]],data[CSF],2)+0.3*data[[#This Row],[GDP_3Years]]/SUMIFS(data[GDP_3Years],data[Year],data[[#This Row],[Year]],data[CSF],2))</f>
        <v>0.10006837547105482</v>
      </c>
      <c r="R82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0.10006837547105482</v>
      </c>
      <c r="S82" s="8" cm="1">
        <f t="array" ref="S82">data[[#This Row],[CSF%Budget]]*VLOOKUP(data[[#This Row],[Year]],costs[#All],COLUMN(costs[CSF_Budget]),FALSE)</f>
        <v>5003.4187735527412</v>
      </c>
      <c r="T82" s="8" cm="1">
        <f t="array" ref="T82">data[[#This Row],[CSF%Actual]]*VLOOKUP(data[[#This Row],[Year]],costs[#All],COLUMN(costs[CSF_Cost_5.4b]),FALSE)</f>
        <v>0</v>
      </c>
      <c r="U82" s="8" cm="1">
        <f t="array" ref="U82">(data[[#This Row],[ESFBudget]]+data[[#This Row],[CSFBudget]])/(SUMIFS(data[ESFBudget],data[Year],data[[#This Row],[Year]])+SUMIFS(data[CSFBudget],data[Year],data[[#This Row],[Year]]))*VLOOKUP(data[[#This Row],[Year]],costs[#All],COLUMN(costs[HD_Budget]),FALSE)</f>
        <v>11013.696396455141</v>
      </c>
      <c r="V82" s="8" cm="1">
        <f t="array" ref="V82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82" s="8" cm="1">
        <f t="array" ref="W82">(data[[#This Row],[ESFBudget]]+data[[#This Row],[CSFBudget]])/(SUMIFS(data[ESFBudget],data[Year],data[[#This Row],[Year]])+SUMIFS(data[CSFBudget],data[Year],data[[#This Row],[Year]]))*VLOOKUP(data[[#This Row],[Year]],costs[#All],COLUMN(costs[RFD_Budget]),FALSE)</f>
        <v>23151.239363977133</v>
      </c>
      <c r="X82" s="8" cm="1">
        <f t="array" ref="X82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83" spans="1:24" x14ac:dyDescent="0.25">
      <c r="A83" t="str">
        <f>data[[#This Row],[Year]] &amp;"-"&amp;data[[#This Row],[State]]</f>
        <v>2025-Sweden</v>
      </c>
      <c r="B83" s="50" t="s">
        <v>33</v>
      </c>
      <c r="C83">
        <v>2025</v>
      </c>
      <c r="D83" s="3">
        <v>2</v>
      </c>
      <c r="E83" s="3">
        <v>2</v>
      </c>
      <c r="F83" s="16">
        <v>12000</v>
      </c>
      <c r="G83" s="16" t="str" cm="1">
        <f t="array" ref="G83">_xlfn.IFS(ISERROR(MATCH(data[[#This Row],[UID]],CoTwo[UID],0)), "Not in CO2", ISERROR(MATCH(data[[#This Row],[UID]],gdp[UID],0)), "Not in GDP", TRUE, "")</f>
        <v/>
      </c>
      <c r="H83" s="8">
        <f>data[[#This Row],[ESFBudget]]+data[[#This Row],[CSFBudget]]+data[[#This Row],[HDBudget]]+data[[#This Row],[RFDBudget]]</f>
        <v>9242.6514858590817</v>
      </c>
      <c r="I83" s="8">
        <f>ROUND(data[[#This Row],[ESFActual]]+data[[#This Row],[CSFActual]]+data[[#This Row],[HDActual]]+data[[#This Row],[RFDActual]],2)</f>
        <v>0</v>
      </c>
      <c r="J83" s="6">
        <f>VLOOKUP(data[[#This Row],[UID]],gdp[],MATCH("Year-5",gdp[#Headers],0),FALSE)+VLOOKUP(data[[#This Row],[UID]],gdp[],MATCH("Year-4",gdp[#Headers],0),FALSE)+VLOOKUP(data[[#This Row],[UID]],gdp[],MATCH("Year-3",gdp[#Headers],0),FALSE)</f>
        <v>1777.1790000000001</v>
      </c>
      <c r="K83" s="17" cm="1">
        <f t="array" ref="K83">VLOOKUP(data[[#This Row],[UID]],CoTwo[#All],COLUMN(CoTwo[ESF_CO2_TONNES]),FALSE)</f>
        <v>1511120.8476</v>
      </c>
      <c r="L83" s="7">
        <f>IF(data[[#This Row],[ESF]]=2,1,0)*(0.7*data[[#This Row],[ESFe]]/SUMIFS(data[ESFe],data[Year],data[[#This Row],[Year]],data[ESF],2)+0.3*data[[#This Row],[GDP_3Years]]/SUMIFS(data[GDP_3Years],data[Year],data[[#This Row],[Year]],data[ESF],2))</f>
        <v>2.5790151684447517E-2</v>
      </c>
      <c r="M83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2.5790151684447517E-2</v>
      </c>
      <c r="N83" s="8" cm="1">
        <f t="array" ref="N83">data[[#This Row],[ESF%Budget]]*VLOOKUP(data[[#This Row],[Year]],costs[#All],COLUMN(costs[ESF_Budget]),FALSE)</f>
        <v>1598.9894044357461</v>
      </c>
      <c r="O83" s="8" cm="1">
        <f t="array" ref="O83">data[[#This Row],[ESF%Actual]]*VLOOKUP(data[[#This Row],[Year]],costs[#All],COLUMN(costs[ESF_Cost_5.4b]),FALSE)</f>
        <v>0</v>
      </c>
      <c r="P83" s="17" cm="1">
        <f t="array" ref="P83">VLOOKUP(data[[#This Row],[UID]],CoTwo[#All],COLUMN(CoTwo[CSF_SET_CO2_TONNES]),FALSE)</f>
        <v>1938082.5807</v>
      </c>
      <c r="Q83" s="51">
        <f>IF(data[[#This Row],[CSF]]=2,1,0)*(0.7*data[[#This Row],[CSFe]]/SUMIFS(data[CSFe],data[Year],data[[#This Row],[Year]],data[CSF],2)+0.3*data[[#This Row],[GDP_3Years]]/SUMIFS(data[GDP_3Years],data[Year],data[[#This Row],[Year]],data[CSF],2))</f>
        <v>1.778833529668012E-2</v>
      </c>
      <c r="R83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1.778833529668012E-2</v>
      </c>
      <c r="S83" s="8" cm="1">
        <f t="array" ref="S83">data[[#This Row],[CSF%Budget]]*VLOOKUP(data[[#This Row],[Year]],costs[#All],COLUMN(costs[CSF_Budget]),FALSE)</f>
        <v>889.41676483400602</v>
      </c>
      <c r="T83" s="8" cm="1">
        <f t="array" ref="T83">data[[#This Row],[CSF%Actual]]*VLOOKUP(data[[#This Row],[Year]],costs[#All],COLUMN(costs[CSF_Cost_5.4b]),FALSE)</f>
        <v>0</v>
      </c>
      <c r="U83" s="8" cm="1">
        <f t="array" ref="U83">(data[[#This Row],[ESFBudget]]+data[[#This Row],[CSFBudget]])/(SUMIFS(data[ESFBudget],data[Year],data[[#This Row],[Year]])+SUMIFS(data[CSFBudget],data[Year],data[[#This Row],[Year]]))*VLOOKUP(data[[#This Row],[Year]],costs[#All],COLUMN(costs[HD_Budget]),FALSE)</f>
        <v>2177.355398111034</v>
      </c>
      <c r="V83" s="8" cm="1">
        <f t="array" ref="V83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83" s="8" cm="1">
        <f t="array" ref="W83">(data[[#This Row],[ESFBudget]]+data[[#This Row],[CSFBudget]])/(SUMIFS(data[ESFBudget],data[Year],data[[#This Row],[Year]])+SUMIFS(data[CSFBudget],data[Year],data[[#This Row],[Year]]))*VLOOKUP(data[[#This Row],[Year]],costs[#All],COLUMN(costs[RFD_Budget]),FALSE)</f>
        <v>4576.8899184782958</v>
      </c>
      <c r="X83" s="8" cm="1">
        <f t="array" ref="X83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84" spans="1:24" x14ac:dyDescent="0.25">
      <c r="A84" t="str">
        <f>data[[#This Row],[Year]] &amp;"-"&amp;data[[#This Row],[State]]</f>
        <v>2025-Switzerland</v>
      </c>
      <c r="B84" s="50" t="s">
        <v>34</v>
      </c>
      <c r="C84">
        <v>2025</v>
      </c>
      <c r="D84" s="3">
        <v>2</v>
      </c>
      <c r="E84" s="3">
        <v>2</v>
      </c>
      <c r="F84" s="16">
        <v>17000</v>
      </c>
      <c r="G84" s="16" t="str" cm="1">
        <f t="array" ref="G84">_xlfn.IFS(ISERROR(MATCH(data[[#This Row],[UID]],CoTwo[UID],0)), "Not in CO2", ISERROR(MATCH(data[[#This Row],[UID]],gdp[UID],0)), "Not in GDP", TRUE, "")</f>
        <v/>
      </c>
      <c r="H84" s="8">
        <f>data[[#This Row],[ESFBudget]]+data[[#This Row],[CSFBudget]]+data[[#This Row],[HDBudget]]+data[[#This Row],[RFDBudget]]</f>
        <v>13121.14765952814</v>
      </c>
      <c r="I84" s="8">
        <f>ROUND(data[[#This Row],[ESFActual]]+data[[#This Row],[CSFActual]]+data[[#This Row],[HDActual]]+data[[#This Row],[RFDActual]],2)</f>
        <v>0</v>
      </c>
      <c r="J84" s="6">
        <f>VLOOKUP(data[[#This Row],[UID]],gdp[],MATCH("Year-5",gdp[#Headers],0),FALSE)+VLOOKUP(data[[#This Row],[UID]],gdp[],MATCH("Year-4",gdp[#Headers],0),FALSE)+VLOOKUP(data[[#This Row],[UID]],gdp[],MATCH("Year-3",gdp[#Headers],0),FALSE)</f>
        <v>2372.1120000000001</v>
      </c>
      <c r="K84" s="17" cm="1">
        <f t="array" ref="K84">VLOOKUP(data[[#This Row],[UID]],CoTwo[#All],COLUMN(CoTwo[ESF_CO2_TONNES]),FALSE)</f>
        <v>1495900.43505</v>
      </c>
      <c r="L84" s="7">
        <f>IF(data[[#This Row],[ESF]]=2,1,0)*(0.7*data[[#This Row],[ESFe]]/SUMIFS(data[ESFe],data[Year],data[[#This Row],[Year]],data[ESF],2)+0.3*data[[#This Row],[GDP_3Years]]/SUMIFS(data[GDP_3Years],data[Year],data[[#This Row],[Year]],data[ESF],2))</f>
        <v>2.8608931562305887E-2</v>
      </c>
      <c r="M84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2.8608931562305887E-2</v>
      </c>
      <c r="N84" s="8" cm="1">
        <f t="array" ref="N84">data[[#This Row],[ESF%Budget]]*VLOOKUP(data[[#This Row],[Year]],costs[#All],COLUMN(costs[ESF_Budget]),FALSE)</f>
        <v>1773.753756862965</v>
      </c>
      <c r="O84" s="8" cm="1">
        <f t="array" ref="O84">data[[#This Row],[ESF%Actual]]*VLOOKUP(data[[#This Row],[Year]],costs[#All],COLUMN(costs[ESF_Cost_5.4b]),FALSE)</f>
        <v>0</v>
      </c>
      <c r="P84" s="17" cm="1">
        <f t="array" ref="P84">VLOOKUP(data[[#This Row],[UID]],CoTwo[#All],COLUMN(CoTwo[CSF_SET_CO2_TONNES]),FALSE)</f>
        <v>5087815.3118000003</v>
      </c>
      <c r="Q84" s="51">
        <f>IF(data[[#This Row],[CSF]]=2,1,0)*(0.7*data[[#This Row],[CSFe]]/SUMIFS(data[CSFe],data[Year],data[[#This Row],[Year]],data[CSF],2)+0.3*data[[#This Row],[GDP_3Years]]/SUMIFS(data[GDP_3Years],data[Year],data[[#This Row],[Year]],data[CSF],2))</f>
        <v>3.5177258414046064E-2</v>
      </c>
      <c r="R84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3.5177258414046064E-2</v>
      </c>
      <c r="S84" s="8" cm="1">
        <f t="array" ref="S84">data[[#This Row],[CSF%Budget]]*VLOOKUP(data[[#This Row],[Year]],costs[#All],COLUMN(costs[CSF_Budget]),FALSE)</f>
        <v>1758.8629207023032</v>
      </c>
      <c r="T84" s="8" cm="1">
        <f t="array" ref="T84">data[[#This Row],[CSF%Actual]]*VLOOKUP(data[[#This Row],[Year]],costs[#All],COLUMN(costs[CSF_Cost_5.4b]),FALSE)</f>
        <v>0</v>
      </c>
      <c r="U84" s="8" cm="1">
        <f t="array" ref="U84">(data[[#This Row],[ESFBudget]]+data[[#This Row],[CSFBudget]])/(SUMIFS(data[ESFBudget],data[Year],data[[#This Row],[Year]])+SUMIFS(data[CSFBudget],data[Year],data[[#This Row],[Year]]))*VLOOKUP(data[[#This Row],[Year]],costs[#All],COLUMN(costs[HD_Budget]),FALSE)</f>
        <v>3091.0395928696103</v>
      </c>
      <c r="V84" s="8" cm="1">
        <f t="array" ref="V84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84" s="8" cm="1">
        <f t="array" ref="W84">(data[[#This Row],[ESFBudget]]+data[[#This Row],[CSFBudget]])/(SUMIFS(data[ESFBudget],data[Year],data[[#This Row],[Year]])+SUMIFS(data[CSFBudget],data[Year],data[[#This Row],[Year]]))*VLOOKUP(data[[#This Row],[Year]],costs[#All],COLUMN(costs[RFD_Budget]),FALSE)</f>
        <v>6497.4913890932621</v>
      </c>
      <c r="X84" s="8" cm="1">
        <f t="array" ref="X84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  <row r="85" spans="1:24" x14ac:dyDescent="0.25">
      <c r="A85" t="str">
        <f>data[[#This Row],[Year]] &amp;"-"&amp;data[[#This Row],[State]]</f>
        <v>2025-United Kingdom</v>
      </c>
      <c r="B85" s="50" t="s">
        <v>35</v>
      </c>
      <c r="C85">
        <v>2025</v>
      </c>
      <c r="D85" s="3">
        <v>2</v>
      </c>
      <c r="E85" s="3">
        <v>2</v>
      </c>
      <c r="F85" s="16">
        <v>78000</v>
      </c>
      <c r="G85" s="16" t="str" cm="1">
        <f t="array" ref="G85">_xlfn.IFS(ISERROR(MATCH(data[[#This Row],[UID]],CoTwo[UID],0)), "Not in CO2", ISERROR(MATCH(data[[#This Row],[UID]],gdp[UID],0)), "Not in GDP", TRUE, "")</f>
        <v/>
      </c>
      <c r="H85" s="8">
        <f>data[[#This Row],[ESFBudget]]+data[[#This Row],[CSFBudget]]+data[[#This Row],[HDBudget]]+data[[#This Row],[RFDBudget]]</f>
        <v>69540.001962890208</v>
      </c>
      <c r="I85" s="8">
        <f>ROUND(data[[#This Row],[ESFActual]]+data[[#This Row],[CSFActual]]+data[[#This Row],[HDActual]]+data[[#This Row],[RFDActual]],2)</f>
        <v>0</v>
      </c>
      <c r="J85" s="6">
        <f>VLOOKUP(data[[#This Row],[UID]],gdp[],MATCH("Year-5",gdp[#Headers],0),FALSE)+VLOOKUP(data[[#This Row],[UID]],gdp[],MATCH("Year-4",gdp[#Headers],0),FALSE)+VLOOKUP(data[[#This Row],[UID]],gdp[],MATCH("Year-3",gdp[#Headers],0),FALSE)</f>
        <v>8942.1049999999996</v>
      </c>
      <c r="K85" s="17" cm="1">
        <f t="array" ref="K85">VLOOKUP(data[[#This Row],[UID]],CoTwo[#All],COLUMN(CoTwo[ESF_CO2_TONNES]),FALSE)</f>
        <v>9301536.0616500005</v>
      </c>
      <c r="L85" s="7">
        <f>IF(data[[#This Row],[ESF]]=2,1,0)*(0.7*data[[#This Row],[ESFe]]/SUMIFS(data[ESFe],data[Year],data[[#This Row],[Year]],data[ESF],2)+0.3*data[[#This Row],[GDP_3Years]]/SUMIFS(data[GDP_3Years],data[Year],data[[#This Row],[Year]],data[ESF],2))</f>
        <v>0.14871593514912745</v>
      </c>
      <c r="M85" s="51">
        <f>IF(data[[#This Row],[ESF]]&gt;0,1,0)*(0.7*data[[#This Row],[ESFe]]/SUMIFS(data[ESFe],data[Year],data[[#This Row],[Year]],data[ESF],"&gt;0")+0.3*data[[#This Row],[GDP_3Years]]/SUMIFS(data[GDP_3Years],data[Year],data[[#This Row],[Year]],data[ESF],"&gt;0"))</f>
        <v>0.14871593514912745</v>
      </c>
      <c r="N85" s="8" cm="1">
        <f t="array" ref="N85">data[[#This Row],[ESF%Budget]]*VLOOKUP(data[[#This Row],[Year]],costs[#All],COLUMN(costs[ESF_Budget]),FALSE)</f>
        <v>9220.3879792459029</v>
      </c>
      <c r="O85" s="8" cm="1">
        <f t="array" ref="O85">data[[#This Row],[ESF%Actual]]*VLOOKUP(data[[#This Row],[Year]],costs[#All],COLUMN(costs[ESF_Cost_5.4b]),FALSE)</f>
        <v>0</v>
      </c>
      <c r="P85" s="17" cm="1">
        <f t="array" ref="P85">VLOOKUP(data[[#This Row],[UID]],CoTwo[#All],COLUMN(CoTwo[CSF_SET_CO2_TONNES]),FALSE)</f>
        <v>31741224.951200001</v>
      </c>
      <c r="Q85" s="51">
        <f>IF(data[[#This Row],[CSF]]=2,1,0)*(0.7*data[[#This Row],[CSFe]]/SUMIFS(data[CSFe],data[Year],data[[#This Row],[Year]],data[CSF],2)+0.3*data[[#This Row],[GDP_3Years]]/SUMIFS(data[GDP_3Years],data[Year],data[[#This Row],[Year]],data[CSF],2))</f>
        <v>0.19003840483064452</v>
      </c>
      <c r="R85" s="51">
        <f>IF(data[[#This Row],[CSF]]&gt;0,1,0)*(0.7*data[[#This Row],[CSFe]]/SUMIFS(data[CSFe],data[Year],data[[#This Row],[Year]],data[CSF],"&gt;0")+0.3*data[[#This Row],[GDP_3Years]]/SUMIFS(data[GDP_3Years],data[Year],data[[#This Row],[Year]],data[CSF],"&gt;0"))</f>
        <v>0.19003840483064452</v>
      </c>
      <c r="S85" s="8" cm="1">
        <f t="array" ref="S85">data[[#This Row],[CSF%Budget]]*VLOOKUP(data[[#This Row],[Year]],costs[#All],COLUMN(costs[CSF_Budget]),FALSE)</f>
        <v>9501.9202415322252</v>
      </c>
      <c r="T85" s="8" cm="1">
        <f t="array" ref="T85">data[[#This Row],[CSF%Actual]]*VLOOKUP(data[[#This Row],[Year]],costs[#All],COLUMN(costs[CSF_Cost_5.4b]),FALSE)</f>
        <v>0</v>
      </c>
      <c r="U85" s="8" cm="1">
        <f t="array" ref="U85">(data[[#This Row],[ESFBudget]]+data[[#This Row],[CSFBudget]])/(SUMIFS(data[ESFBudget],data[Year],data[[#This Row],[Year]])+SUMIFS(data[CSFBudget],data[Year],data[[#This Row],[Year]]))*VLOOKUP(data[[#This Row],[Year]],costs[#All],COLUMN(costs[HD_Budget]),FALSE)</f>
        <v>16382.019693180866</v>
      </c>
      <c r="V85" s="8" cm="1">
        <f t="array" ref="V85">(data[[#This Row],[ESFActual]]+data[[#This Row],[CSFActual]])/IF(SUMIFS(data[ESFActual],data[Year],data[[#This Row],[Year]])+SUMIFS(data[CSFActual],data[Year],data[[#This Row],[Year]]) = 0, 1, SUMIFS(data[ESFActual],data[Year],data[[#This Row],[Year]])+SUMIFS(data[CSFActual],data[Year],data[[#This Row],[Year]]))*VLOOKUP(data[[#This Row],[Year]],costs[#All],COLUMN(costs[HD_Cost_5.4b]),FALSE)</f>
        <v>0</v>
      </c>
      <c r="W85" s="8" cm="1">
        <f t="array" ref="W85">(data[[#This Row],[ESFBudget]]+data[[#This Row],[CSFBudget]])/(SUMIFS(data[ESFBudget],data[Year],data[[#This Row],[Year]])+SUMIFS(data[CSFBudget],data[Year],data[[#This Row],[Year]]))*VLOOKUP(data[[#This Row],[Year]],costs[#All],COLUMN(costs[RFD_Budget]),FALSE)</f>
        <v>34435.674048931207</v>
      </c>
      <c r="X85" s="8" cm="1">
        <f t="array" ref="X85">(data[[#This Row],[ESFActual]]+data[[#This Row],[CSFActual]])/IF(SUMIFS(data[ESFActual],data[Year],data[[#This Row],[Year]])+SUMIFS(data[CSFActual],data[Year],data[[#This Row],[Year]])=0,1,SUMIFS(data[ESFActual],data[Year],data[[#This Row],[Year]])+SUMIFS(data[CSFActual],data[Year],data[[#This Row],[Year]]))*VLOOKUP(data[[#This Row],[Year]],costs[#All],COLUMN(costs[RFD_Cost_5.4b]),FALSE)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B5" sqref="B5"/>
    </sheetView>
  </sheetViews>
  <sheetFormatPr defaultRowHeight="15" x14ac:dyDescent="0.25"/>
  <cols>
    <col min="1" max="1" width="23" bestFit="1" customWidth="1"/>
    <col min="2" max="2" width="17.28515625" style="3" customWidth="1"/>
    <col min="3" max="3" width="16.7109375" customWidth="1"/>
    <col min="4" max="4" width="15.85546875" style="3" bestFit="1" customWidth="1"/>
    <col min="5" max="5" width="15.5703125" bestFit="1" customWidth="1"/>
  </cols>
  <sheetData>
    <row r="1" spans="1:5" x14ac:dyDescent="0.25">
      <c r="A1" s="1" t="s">
        <v>124</v>
      </c>
      <c r="B1" s="3" t="s">
        <v>36</v>
      </c>
      <c r="C1" s="15" t="s">
        <v>125</v>
      </c>
      <c r="D1" s="15" t="s">
        <v>126</v>
      </c>
      <c r="E1" s="15" t="s">
        <v>66</v>
      </c>
    </row>
    <row r="2" spans="1:5" x14ac:dyDescent="0.25">
      <c r="A2" s="15" t="str" cm="1">
        <f t="array" ref="A2">_xlfn.IFS(AND(StateNames[[#This Row],[GDP_State]]&lt;&gt;"",StateNames[[#This Row],[CO2_State]]=""), "GDP"&amp;StateNames[[#This Row],[Year]]&amp;StateNames[[#This Row],[GDP_State]], AND(StateNames[[#This Row],[CO2_State]]&lt;&gt; "",StateNames[[#This Row],[GDP_State]]=""), "CO2"&amp;StateNames[[#This Row],[Year]]&amp;StateNames[[#This Row],[CO2_State]],TRUE, NA())</f>
        <v>CO22023CZECHIA</v>
      </c>
      <c r="B2" s="3">
        <v>2023</v>
      </c>
      <c r="C2" s="15"/>
      <c r="D2" s="15" t="s">
        <v>138</v>
      </c>
      <c r="E2" s="15" t="s">
        <v>13</v>
      </c>
    </row>
    <row r="3" spans="1:5" x14ac:dyDescent="0.25">
      <c r="A3" s="15" t="str" cm="1">
        <f t="array" ref="A3">_xlfn.IFS(AND(StateNames[[#This Row],[GDP_State]]&lt;&gt;"",StateNames[[#This Row],[CO2_State]]=""), "GDP"&amp;StateNames[[#This Row],[Year]]&amp;StateNames[[#This Row],[GDP_State]], AND(StateNames[[#This Row],[CO2_State]]&lt;&gt; "",StateNames[[#This Row],[GDP_State]]=""), "CO2"&amp;StateNames[[#This Row],[Year]]&amp;StateNames[[#This Row],[CO2_State]],TRUE, NA())</f>
        <v>CO22024CZECHIA</v>
      </c>
      <c r="B3" s="3">
        <v>2024</v>
      </c>
      <c r="C3" s="15"/>
      <c r="D3" s="15" t="s">
        <v>138</v>
      </c>
      <c r="E3" s="15" t="s">
        <v>13</v>
      </c>
    </row>
    <row r="4" spans="1:5" x14ac:dyDescent="0.25">
      <c r="A4" s="15" t="str" cm="1">
        <f t="array" ref="A4">_xlfn.IFS(AND(StateNames[[#This Row],[GDP_State]]&lt;&gt;"",StateNames[[#This Row],[CO2_State]]=""), "GDP"&amp;StateNames[[#This Row],[Year]]&amp;StateNames[[#This Row],[GDP_State]], AND(StateNames[[#This Row],[CO2_State]]&lt;&gt; "",StateNames[[#This Row],[GDP_State]]=""), "CO2"&amp;StateNames[[#This Row],[Year]]&amp;StateNames[[#This Row],[CO2_State]],TRUE, NA())</f>
        <v>CO22025CZECHIA</v>
      </c>
      <c r="B4" s="3">
        <v>2025</v>
      </c>
      <c r="C4" s="15"/>
      <c r="D4" s="15" t="s">
        <v>138</v>
      </c>
      <c r="E4" s="15" t="s">
        <v>13</v>
      </c>
    </row>
    <row r="5" spans="1:5" x14ac:dyDescent="0.25">
      <c r="A5" s="15" t="str" cm="1">
        <f t="array" ref="A5">_xlfn.IFS(AND(StateNames[[#This Row],[GDP_State]]&lt;&gt;"",StateNames[[#This Row],[CO2_State]]=""), "GDP"&amp;StateNames[[#This Row],[Year]]&amp;StateNames[[#This Row],[GDP_State]], AND(StateNames[[#This Row],[CO2_State]]&lt;&gt; "",StateNames[[#This Row],[GDP_State]]=""), "CO2"&amp;StateNames[[#This Row],[Year]]&amp;StateNames[[#This Row],[CO2_State]],TRUE, NA())</f>
        <v>GDP2023Slovak Republic</v>
      </c>
      <c r="B5" s="3">
        <v>2023</v>
      </c>
      <c r="C5" s="15" t="s">
        <v>30</v>
      </c>
      <c r="D5" s="15"/>
      <c r="E5" s="15" t="s">
        <v>80</v>
      </c>
    </row>
    <row r="6" spans="1:5" x14ac:dyDescent="0.25">
      <c r="A6" s="15" t="str" cm="1">
        <f t="array" ref="A6">_xlfn.IFS(AND(StateNames[[#This Row],[GDP_State]]&lt;&gt;"",StateNames[[#This Row],[CO2_State]]=""), "GDP"&amp;StateNames[[#This Row],[Year]]&amp;StateNames[[#This Row],[GDP_State]], AND(StateNames[[#This Row],[CO2_State]]&lt;&gt; "",StateNames[[#This Row],[GDP_State]]=""), "CO2"&amp;StateNames[[#This Row],[Year]]&amp;StateNames[[#This Row],[CO2_State]],TRUE, NA())</f>
        <v>GDP2024Slovak Republic</v>
      </c>
      <c r="B6" s="3">
        <v>2024</v>
      </c>
      <c r="C6" s="15" t="s">
        <v>30</v>
      </c>
      <c r="D6" s="15"/>
      <c r="E6" s="15" t="s">
        <v>80</v>
      </c>
    </row>
    <row r="7" spans="1:5" x14ac:dyDescent="0.25">
      <c r="A7" s="15" t="str" cm="1">
        <f t="array" ref="A7">_xlfn.IFS(AND(StateNames[[#This Row],[GDP_State]]&lt;&gt;"",StateNames[[#This Row],[CO2_State]]=""), "GDP"&amp;StateNames[[#This Row],[Year]]&amp;StateNames[[#This Row],[GDP_State]], AND(StateNames[[#This Row],[CO2_State]]&lt;&gt; "",StateNames[[#This Row],[GDP_State]]=""), "CO2"&amp;StateNames[[#This Row],[Year]]&amp;StateNames[[#This Row],[CO2_State]],TRUE, NA())</f>
        <v>GDP2025Slovak Republic</v>
      </c>
      <c r="B7" s="3">
        <v>2025</v>
      </c>
      <c r="C7" s="15" t="s">
        <v>30</v>
      </c>
      <c r="D7" s="15"/>
      <c r="E7" s="15" t="s">
        <v>80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5"/>
  <sheetViews>
    <sheetView topLeftCell="A49" workbookViewId="0">
      <selection activeCell="S86" sqref="S86"/>
    </sheetView>
  </sheetViews>
  <sheetFormatPr defaultRowHeight="15" x14ac:dyDescent="0.25"/>
  <cols>
    <col min="1" max="2" width="8.85546875" customWidth="1"/>
    <col min="3" max="3" width="13.7109375" style="3" bestFit="1" customWidth="1"/>
    <col min="4" max="4" width="19" style="3" bestFit="1" customWidth="1"/>
    <col min="5" max="5" width="17.28515625" style="3" bestFit="1" customWidth="1"/>
    <col min="6" max="6" width="13.28515625" style="15" customWidth="1"/>
    <col min="7" max="7" width="19.7109375" customWidth="1"/>
    <col min="8" max="8" width="7.7109375" customWidth="1"/>
    <col min="9" max="9" width="24.140625" customWidth="1"/>
    <col min="13" max="13" width="9.28515625" customWidth="1"/>
    <col min="16" max="16" width="13.7109375" customWidth="1"/>
  </cols>
  <sheetData>
    <row r="1" spans="1:16" x14ac:dyDescent="0.25">
      <c r="A1" s="1" t="s">
        <v>69</v>
      </c>
      <c r="B1" s="13" t="s">
        <v>36</v>
      </c>
      <c r="C1" s="4" t="s">
        <v>89</v>
      </c>
      <c r="D1" s="12" t="s">
        <v>90</v>
      </c>
      <c r="E1" s="12" t="s">
        <v>91</v>
      </c>
      <c r="F1" s="14" t="s">
        <v>66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37</v>
      </c>
      <c r="M1" t="s">
        <v>38</v>
      </c>
      <c r="N1" t="s">
        <v>39</v>
      </c>
      <c r="O1" t="s">
        <v>5</v>
      </c>
      <c r="P1" s="1" t="s">
        <v>136</v>
      </c>
    </row>
    <row r="2" spans="1:16" x14ac:dyDescent="0.25">
      <c r="A2" t="str">
        <f>gdp[[#This Row],[Year]]&amp;"-"&amp;gdp[[#This Row],[State]]</f>
        <v>2023-Austria</v>
      </c>
      <c r="B2" s="3">
        <v>2023</v>
      </c>
      <c r="C2" s="5">
        <f>DATE(gdp[[#This Row],[Year]]-1,4,1)</f>
        <v>44652</v>
      </c>
      <c r="D2" s="3">
        <f>gdp[[#This Row],[Year]]-5</f>
        <v>2018</v>
      </c>
      <c r="E2" s="3">
        <f>gdp[[#This Row],[Year]]-3</f>
        <v>2020</v>
      </c>
      <c r="F2" s="15" t="str">
        <f>IFERROR(INDEX(StateNames[State],MATCH("GDP"&amp;gdp[[#This Row],[Year]]&amp;gdp[[#This Row],[Country]],StateNames[SNUID],0)), gdp[[#This Row],[Country]])</f>
        <v>Austria</v>
      </c>
      <c r="G2" t="s">
        <v>8</v>
      </c>
      <c r="H2" t="s">
        <v>6</v>
      </c>
      <c r="I2" t="s">
        <v>92</v>
      </c>
      <c r="J2" t="s">
        <v>7</v>
      </c>
      <c r="K2" t="s">
        <v>93</v>
      </c>
      <c r="L2">
        <v>455.37400000000002</v>
      </c>
      <c r="M2">
        <v>445.06099999999998</v>
      </c>
      <c r="N2">
        <v>432.91199999999998</v>
      </c>
      <c r="O2">
        <v>2021</v>
      </c>
      <c r="P2">
        <f>IFERROR(MATCH(gdp[[#This Row],[UID]],data[UID],0),0)</f>
        <v>1</v>
      </c>
    </row>
    <row r="3" spans="1:16" x14ac:dyDescent="0.25">
      <c r="A3" t="str">
        <f>gdp[[#This Row],[Year]]&amp;"-"&amp;gdp[[#This Row],[State]]</f>
        <v>2023-Belgium</v>
      </c>
      <c r="B3" s="3">
        <v>2023</v>
      </c>
      <c r="C3" s="5">
        <f>DATE(gdp[[#This Row],[Year]]-1,4,1)</f>
        <v>44652</v>
      </c>
      <c r="D3" s="3">
        <f>gdp[[#This Row],[Year]]-5</f>
        <v>2018</v>
      </c>
      <c r="E3" s="3">
        <f>gdp[[#This Row],[Year]]-3</f>
        <v>2020</v>
      </c>
      <c r="F3" s="15" t="str">
        <f>IFERROR(INDEX(StateNames[State],MATCH("GDP"&amp;gdp[[#This Row],[Year]]&amp;gdp[[#This Row],[Country]],StateNames[SNUID],0)), gdp[[#This Row],[Country]])</f>
        <v>Belgium</v>
      </c>
      <c r="G3" t="s">
        <v>9</v>
      </c>
      <c r="H3" t="s">
        <v>6</v>
      </c>
      <c r="I3" t="s">
        <v>92</v>
      </c>
      <c r="J3" t="s">
        <v>7</v>
      </c>
      <c r="K3" t="s">
        <v>93</v>
      </c>
      <c r="L3">
        <v>543.52</v>
      </c>
      <c r="M3">
        <v>535.34699999999998</v>
      </c>
      <c r="N3">
        <v>521.44500000000005</v>
      </c>
      <c r="O3">
        <v>2020</v>
      </c>
      <c r="P3">
        <f>IFERROR(MATCH(gdp[[#This Row],[UID]],data[UID],0),0)</f>
        <v>2</v>
      </c>
    </row>
    <row r="4" spans="1:16" x14ac:dyDescent="0.25">
      <c r="A4" t="str">
        <f>gdp[[#This Row],[Year]]&amp;"-"&amp;gdp[[#This Row],[State]]</f>
        <v>2023-Bulgaria</v>
      </c>
      <c r="B4" s="3">
        <v>2023</v>
      </c>
      <c r="C4" s="5">
        <f>DATE(gdp[[#This Row],[Year]]-1,4,1)</f>
        <v>44652</v>
      </c>
      <c r="D4" s="3">
        <f>gdp[[#This Row],[Year]]-5</f>
        <v>2018</v>
      </c>
      <c r="E4" s="3">
        <f>gdp[[#This Row],[Year]]-3</f>
        <v>2020</v>
      </c>
      <c r="F4" s="15" t="str">
        <f>IFERROR(INDEX(StateNames[State],MATCH("GDP"&amp;gdp[[#This Row],[Year]]&amp;gdp[[#This Row],[Country]],StateNames[SNUID],0)), gdp[[#This Row],[Country]])</f>
        <v>Bulgaria</v>
      </c>
      <c r="G4" t="s">
        <v>10</v>
      </c>
      <c r="H4" t="s">
        <v>6</v>
      </c>
      <c r="I4" t="s">
        <v>92</v>
      </c>
      <c r="J4" t="s">
        <v>7</v>
      </c>
      <c r="K4" t="s">
        <v>93</v>
      </c>
      <c r="L4">
        <v>66.427999999999997</v>
      </c>
      <c r="M4">
        <v>68.918999999999997</v>
      </c>
      <c r="N4">
        <v>69.995000000000005</v>
      </c>
      <c r="O4">
        <v>2021</v>
      </c>
      <c r="P4">
        <f>IFERROR(MATCH(gdp[[#This Row],[UID]],data[UID],0),0)</f>
        <v>3</v>
      </c>
    </row>
    <row r="5" spans="1:16" x14ac:dyDescent="0.25">
      <c r="A5" t="str">
        <f>gdp[[#This Row],[Year]]&amp;"-"&amp;gdp[[#This Row],[State]]</f>
        <v>2023-Croatia</v>
      </c>
      <c r="B5" s="3">
        <v>2023</v>
      </c>
      <c r="C5" s="5">
        <f>DATE(gdp[[#This Row],[Year]]-1,4,1)</f>
        <v>44652</v>
      </c>
      <c r="D5" s="3">
        <f>gdp[[#This Row],[Year]]-5</f>
        <v>2018</v>
      </c>
      <c r="E5" s="3">
        <f>gdp[[#This Row],[Year]]-3</f>
        <v>2020</v>
      </c>
      <c r="F5" s="15" t="str">
        <f>IFERROR(INDEX(StateNames[State],MATCH("GDP"&amp;gdp[[#This Row],[Year]]&amp;gdp[[#This Row],[Country]],StateNames[SNUID],0)), gdp[[#This Row],[Country]])</f>
        <v>Croatia</v>
      </c>
      <c r="G5" t="s">
        <v>11</v>
      </c>
      <c r="H5" t="s">
        <v>6</v>
      </c>
      <c r="I5" t="s">
        <v>92</v>
      </c>
      <c r="J5" t="s">
        <v>7</v>
      </c>
      <c r="K5" t="s">
        <v>93</v>
      </c>
      <c r="L5">
        <v>62.247999999999998</v>
      </c>
      <c r="M5">
        <v>62.246000000000002</v>
      </c>
      <c r="N5">
        <v>57.204000000000001</v>
      </c>
      <c r="O5">
        <v>2020</v>
      </c>
      <c r="P5">
        <f>IFERROR(MATCH(gdp[[#This Row],[UID]],data[UID],0),0)</f>
        <v>4</v>
      </c>
    </row>
    <row r="6" spans="1:16" x14ac:dyDescent="0.25">
      <c r="A6" t="str">
        <f>gdp[[#This Row],[Year]]&amp;"-"&amp;gdp[[#This Row],[State]]</f>
        <v>2023-Cyprus</v>
      </c>
      <c r="B6" s="3">
        <v>2023</v>
      </c>
      <c r="C6" s="5">
        <f>DATE(gdp[[#This Row],[Year]]-1,4,1)</f>
        <v>44652</v>
      </c>
      <c r="D6" s="3">
        <f>gdp[[#This Row],[Year]]-5</f>
        <v>2018</v>
      </c>
      <c r="E6" s="3">
        <f>gdp[[#This Row],[Year]]-3</f>
        <v>2020</v>
      </c>
      <c r="F6" s="15" t="str">
        <f>IFERROR(INDEX(StateNames[State],MATCH("GDP"&amp;gdp[[#This Row],[Year]]&amp;gdp[[#This Row],[Country]],StateNames[SNUID],0)), gdp[[#This Row],[Country]])</f>
        <v>Cyprus</v>
      </c>
      <c r="G6" t="s">
        <v>12</v>
      </c>
      <c r="H6" t="s">
        <v>6</v>
      </c>
      <c r="I6" t="s">
        <v>92</v>
      </c>
      <c r="J6" t="s">
        <v>7</v>
      </c>
      <c r="K6" t="s">
        <v>93</v>
      </c>
      <c r="L6">
        <v>25.535</v>
      </c>
      <c r="M6">
        <v>25.762</v>
      </c>
      <c r="N6">
        <v>24.672000000000001</v>
      </c>
      <c r="O6">
        <v>2021</v>
      </c>
      <c r="P6">
        <f>IFERROR(MATCH(gdp[[#This Row],[UID]],data[UID],0),0)</f>
        <v>5</v>
      </c>
    </row>
    <row r="7" spans="1:16" x14ac:dyDescent="0.25">
      <c r="A7" t="str">
        <f>gdp[[#This Row],[Year]]&amp;"-"&amp;gdp[[#This Row],[State]]</f>
        <v>2023-Czech Republic</v>
      </c>
      <c r="B7" s="3">
        <v>2023</v>
      </c>
      <c r="C7" s="5">
        <f>DATE(gdp[[#This Row],[Year]]-1,4,1)</f>
        <v>44652</v>
      </c>
      <c r="D7" s="3">
        <f>gdp[[#This Row],[Year]]-5</f>
        <v>2018</v>
      </c>
      <c r="E7" s="3">
        <f>gdp[[#This Row],[Year]]-3</f>
        <v>2020</v>
      </c>
      <c r="F7" s="15" t="str">
        <f>IFERROR(INDEX(StateNames[State],MATCH("GDP"&amp;gdp[[#This Row],[Year]]&amp;gdp[[#This Row],[Country]],StateNames[SNUID],0)), gdp[[#This Row],[Country]])</f>
        <v>Czech Republic</v>
      </c>
      <c r="G7" t="s">
        <v>13</v>
      </c>
      <c r="H7" t="s">
        <v>6</v>
      </c>
      <c r="I7" t="s">
        <v>92</v>
      </c>
      <c r="J7" t="s">
        <v>7</v>
      </c>
      <c r="K7" t="s">
        <v>93</v>
      </c>
      <c r="L7">
        <v>248.95</v>
      </c>
      <c r="M7">
        <v>252.49799999999999</v>
      </c>
      <c r="N7">
        <v>245.339</v>
      </c>
      <c r="O7">
        <v>2020</v>
      </c>
      <c r="P7">
        <f>IFERROR(MATCH(gdp[[#This Row],[UID]],data[UID],0),0)</f>
        <v>6</v>
      </c>
    </row>
    <row r="8" spans="1:16" x14ac:dyDescent="0.25">
      <c r="A8" t="str">
        <f>gdp[[#This Row],[Year]]&amp;"-"&amp;gdp[[#This Row],[State]]</f>
        <v>2023-Denmark</v>
      </c>
      <c r="B8" s="3">
        <v>2023</v>
      </c>
      <c r="C8" s="5">
        <f>DATE(gdp[[#This Row],[Year]]-1,4,1)</f>
        <v>44652</v>
      </c>
      <c r="D8" s="3">
        <f>gdp[[#This Row],[Year]]-5</f>
        <v>2018</v>
      </c>
      <c r="E8" s="3">
        <f>gdp[[#This Row],[Year]]-3</f>
        <v>2020</v>
      </c>
      <c r="F8" s="15" t="str">
        <f>IFERROR(INDEX(StateNames[State],MATCH("GDP"&amp;gdp[[#This Row],[Year]]&amp;gdp[[#This Row],[Country]],StateNames[SNUID],0)), gdp[[#This Row],[Country]])</f>
        <v>Denmark</v>
      </c>
      <c r="G8" t="s">
        <v>14</v>
      </c>
      <c r="H8" t="s">
        <v>6</v>
      </c>
      <c r="I8" t="s">
        <v>92</v>
      </c>
      <c r="J8" t="s">
        <v>7</v>
      </c>
      <c r="K8" t="s">
        <v>93</v>
      </c>
      <c r="L8">
        <v>356.84100000000001</v>
      </c>
      <c r="M8">
        <v>347.56099999999998</v>
      </c>
      <c r="N8">
        <v>356.08499999999998</v>
      </c>
      <c r="O8">
        <v>2021</v>
      </c>
      <c r="P8">
        <f>IFERROR(MATCH(gdp[[#This Row],[UID]],data[UID],0),0)</f>
        <v>7</v>
      </c>
    </row>
    <row r="9" spans="1:16" x14ac:dyDescent="0.25">
      <c r="A9" t="str">
        <f>gdp[[#This Row],[Year]]&amp;"-"&amp;gdp[[#This Row],[State]]</f>
        <v>2023-Estonia</v>
      </c>
      <c r="B9" s="3">
        <v>2023</v>
      </c>
      <c r="C9" s="5">
        <f>DATE(gdp[[#This Row],[Year]]-1,4,1)</f>
        <v>44652</v>
      </c>
      <c r="D9" s="3">
        <f>gdp[[#This Row],[Year]]-5</f>
        <v>2018</v>
      </c>
      <c r="E9" s="3">
        <f>gdp[[#This Row],[Year]]-3</f>
        <v>2020</v>
      </c>
      <c r="F9" s="15" t="str">
        <f>IFERROR(INDEX(StateNames[State],MATCH("GDP"&amp;gdp[[#This Row],[Year]]&amp;gdp[[#This Row],[Country]],StateNames[SNUID],0)), gdp[[#This Row],[Country]])</f>
        <v>Estonia</v>
      </c>
      <c r="G9" t="s">
        <v>15</v>
      </c>
      <c r="H9" t="s">
        <v>6</v>
      </c>
      <c r="I9" t="s">
        <v>92</v>
      </c>
      <c r="J9" t="s">
        <v>7</v>
      </c>
      <c r="K9" t="s">
        <v>93</v>
      </c>
      <c r="L9">
        <v>30.503</v>
      </c>
      <c r="M9">
        <v>31.048999999999999</v>
      </c>
      <c r="N9">
        <v>30.626000000000001</v>
      </c>
      <c r="O9">
        <v>2021</v>
      </c>
      <c r="P9">
        <f>IFERROR(MATCH(gdp[[#This Row],[UID]],data[UID],0),0)</f>
        <v>8</v>
      </c>
    </row>
    <row r="10" spans="1:16" x14ac:dyDescent="0.25">
      <c r="A10" t="str">
        <f>gdp[[#This Row],[Year]]&amp;"-"&amp;gdp[[#This Row],[State]]</f>
        <v>2023-Finland</v>
      </c>
      <c r="B10" s="3">
        <v>2023</v>
      </c>
      <c r="C10" s="5">
        <f>DATE(gdp[[#This Row],[Year]]-1,4,1)</f>
        <v>44652</v>
      </c>
      <c r="D10" s="3">
        <f>gdp[[#This Row],[Year]]-5</f>
        <v>2018</v>
      </c>
      <c r="E10" s="3">
        <f>gdp[[#This Row],[Year]]-3</f>
        <v>2020</v>
      </c>
      <c r="F10" s="15" t="str">
        <f>IFERROR(INDEX(StateNames[State],MATCH("GDP"&amp;gdp[[#This Row],[Year]]&amp;gdp[[#This Row],[Country]],StateNames[SNUID],0)), gdp[[#This Row],[Country]])</f>
        <v>Finland</v>
      </c>
      <c r="G10" t="s">
        <v>16</v>
      </c>
      <c r="H10" t="s">
        <v>6</v>
      </c>
      <c r="I10" t="s">
        <v>92</v>
      </c>
      <c r="J10" t="s">
        <v>7</v>
      </c>
      <c r="K10" t="s">
        <v>93</v>
      </c>
      <c r="L10">
        <v>275.83999999999997</v>
      </c>
      <c r="M10">
        <v>268.53800000000001</v>
      </c>
      <c r="N10">
        <v>271.61900000000003</v>
      </c>
      <c r="O10">
        <v>2020</v>
      </c>
      <c r="P10">
        <f>IFERROR(MATCH(gdp[[#This Row],[UID]],data[UID],0),0)</f>
        <v>9</v>
      </c>
    </row>
    <row r="11" spans="1:16" x14ac:dyDescent="0.25">
      <c r="A11" t="str">
        <f>gdp[[#This Row],[Year]]&amp;"-"&amp;gdp[[#This Row],[State]]</f>
        <v>2023-France</v>
      </c>
      <c r="B11" s="3">
        <v>2023</v>
      </c>
      <c r="C11" s="5">
        <f>DATE(gdp[[#This Row],[Year]]-1,4,1)</f>
        <v>44652</v>
      </c>
      <c r="D11" s="3">
        <f>gdp[[#This Row],[Year]]-5</f>
        <v>2018</v>
      </c>
      <c r="E11" s="3">
        <f>gdp[[#This Row],[Year]]-3</f>
        <v>2020</v>
      </c>
      <c r="F11" s="15" t="str">
        <f>IFERROR(INDEX(StateNames[State],MATCH("GDP"&amp;gdp[[#This Row],[Year]]&amp;gdp[[#This Row],[Country]],StateNames[SNUID],0)), gdp[[#This Row],[Country]])</f>
        <v>France</v>
      </c>
      <c r="G11" t="s">
        <v>17</v>
      </c>
      <c r="H11" t="s">
        <v>6</v>
      </c>
      <c r="I11" t="s">
        <v>92</v>
      </c>
      <c r="J11" t="s">
        <v>7</v>
      </c>
      <c r="K11" t="s">
        <v>93</v>
      </c>
      <c r="L11">
        <v>2789.68</v>
      </c>
      <c r="M11">
        <v>2730.107</v>
      </c>
      <c r="N11">
        <v>2621.9609999999998</v>
      </c>
      <c r="O11">
        <v>2021</v>
      </c>
      <c r="P11">
        <f>IFERROR(MATCH(gdp[[#This Row],[UID]],data[UID],0),0)</f>
        <v>10</v>
      </c>
    </row>
    <row r="12" spans="1:16" x14ac:dyDescent="0.25">
      <c r="A12" t="str">
        <f>gdp[[#This Row],[Year]]&amp;"-"&amp;gdp[[#This Row],[State]]</f>
        <v>2023-Germany</v>
      </c>
      <c r="B12" s="3">
        <v>2023</v>
      </c>
      <c r="C12" s="5">
        <f>DATE(gdp[[#This Row],[Year]]-1,4,1)</f>
        <v>44652</v>
      </c>
      <c r="D12" s="3">
        <f>gdp[[#This Row],[Year]]-5</f>
        <v>2018</v>
      </c>
      <c r="E12" s="3">
        <f>gdp[[#This Row],[Year]]-3</f>
        <v>2020</v>
      </c>
      <c r="F12" s="15" t="str">
        <f>IFERROR(INDEX(StateNames[State],MATCH("GDP"&amp;gdp[[#This Row],[Year]]&amp;gdp[[#This Row],[Country]],StateNames[SNUID],0)), gdp[[#This Row],[Country]])</f>
        <v>Germany</v>
      </c>
      <c r="G12" t="s">
        <v>18</v>
      </c>
      <c r="H12" t="s">
        <v>6</v>
      </c>
      <c r="I12" t="s">
        <v>92</v>
      </c>
      <c r="J12" t="s">
        <v>7</v>
      </c>
      <c r="K12" t="s">
        <v>93</v>
      </c>
      <c r="L12">
        <v>3979.0929999999998</v>
      </c>
      <c r="M12">
        <v>3888.7559999999999</v>
      </c>
      <c r="N12">
        <v>3843.335</v>
      </c>
      <c r="O12">
        <v>2021</v>
      </c>
      <c r="P12">
        <f>IFERROR(MATCH(gdp[[#This Row],[UID]],data[UID],0),0)</f>
        <v>11</v>
      </c>
    </row>
    <row r="13" spans="1:16" x14ac:dyDescent="0.25">
      <c r="A13" t="str">
        <f>gdp[[#This Row],[Year]]&amp;"-"&amp;gdp[[#This Row],[State]]</f>
        <v>2023-Greece</v>
      </c>
      <c r="B13" s="3">
        <v>2023</v>
      </c>
      <c r="C13" s="5">
        <f>DATE(gdp[[#This Row],[Year]]-1,4,1)</f>
        <v>44652</v>
      </c>
      <c r="D13" s="3">
        <f>gdp[[#This Row],[Year]]-5</f>
        <v>2018</v>
      </c>
      <c r="E13" s="3">
        <f>gdp[[#This Row],[Year]]-3</f>
        <v>2020</v>
      </c>
      <c r="F13" s="15" t="str">
        <f>IFERROR(INDEX(StateNames[State],MATCH("GDP"&amp;gdp[[#This Row],[Year]]&amp;gdp[[#This Row],[Country]],StateNames[SNUID],0)), gdp[[#This Row],[Country]])</f>
        <v>Greece</v>
      </c>
      <c r="G13" t="s">
        <v>19</v>
      </c>
      <c r="H13" t="s">
        <v>6</v>
      </c>
      <c r="I13" t="s">
        <v>92</v>
      </c>
      <c r="J13" t="s">
        <v>7</v>
      </c>
      <c r="K13" t="s">
        <v>93</v>
      </c>
      <c r="L13">
        <v>212.14599999999999</v>
      </c>
      <c r="M13">
        <v>205.166</v>
      </c>
      <c r="N13">
        <v>188.684</v>
      </c>
      <c r="O13">
        <v>2021</v>
      </c>
      <c r="P13">
        <f>IFERROR(MATCH(gdp[[#This Row],[UID]],data[UID],0),0)</f>
        <v>12</v>
      </c>
    </row>
    <row r="14" spans="1:16" x14ac:dyDescent="0.25">
      <c r="A14" t="str">
        <f>gdp[[#This Row],[Year]]&amp;"-"&amp;gdp[[#This Row],[State]]</f>
        <v>2023-Iceland</v>
      </c>
      <c r="B14" s="3">
        <v>2023</v>
      </c>
      <c r="C14" s="5">
        <f>DATE(gdp[[#This Row],[Year]]-1,4,1)</f>
        <v>44652</v>
      </c>
      <c r="D14" s="3">
        <f>gdp[[#This Row],[Year]]-5</f>
        <v>2018</v>
      </c>
      <c r="E14" s="3">
        <f>gdp[[#This Row],[Year]]-3</f>
        <v>2020</v>
      </c>
      <c r="F14" s="15" t="str">
        <f>IFERROR(INDEX(StateNames[State],MATCH("GDP"&amp;gdp[[#This Row],[Year]]&amp;gdp[[#This Row],[Country]],StateNames[SNUID],0)), gdp[[#This Row],[Country]])</f>
        <v>Iceland</v>
      </c>
      <c r="G14" t="s">
        <v>20</v>
      </c>
      <c r="H14" t="s">
        <v>6</v>
      </c>
      <c r="I14" t="s">
        <v>92</v>
      </c>
      <c r="J14" t="s">
        <v>7</v>
      </c>
      <c r="K14" t="s">
        <v>93</v>
      </c>
      <c r="L14">
        <v>26.263999999999999</v>
      </c>
      <c r="M14">
        <v>24.82</v>
      </c>
      <c r="N14">
        <v>21.625</v>
      </c>
      <c r="O14">
        <v>2020</v>
      </c>
      <c r="P14">
        <f>IFERROR(MATCH(gdp[[#This Row],[UID]],data[UID],0),0)</f>
        <v>13</v>
      </c>
    </row>
    <row r="15" spans="1:16" x14ac:dyDescent="0.25">
      <c r="A15" t="str">
        <f>gdp[[#This Row],[Year]]&amp;"-"&amp;gdp[[#This Row],[State]]</f>
        <v>2023-Ireland</v>
      </c>
      <c r="B15" s="3">
        <v>2023</v>
      </c>
      <c r="C15" s="5">
        <f>DATE(gdp[[#This Row],[Year]]-1,4,1)</f>
        <v>44652</v>
      </c>
      <c r="D15" s="3">
        <f>gdp[[#This Row],[Year]]-5</f>
        <v>2018</v>
      </c>
      <c r="E15" s="3">
        <f>gdp[[#This Row],[Year]]-3</f>
        <v>2020</v>
      </c>
      <c r="F15" s="15" t="str">
        <f>IFERROR(INDEX(StateNames[State],MATCH("GDP"&amp;gdp[[#This Row],[Year]]&amp;gdp[[#This Row],[Country]],StateNames[SNUID],0)), gdp[[#This Row],[Country]])</f>
        <v>Ireland</v>
      </c>
      <c r="G15" t="s">
        <v>21</v>
      </c>
      <c r="H15" t="s">
        <v>6</v>
      </c>
      <c r="I15" t="s">
        <v>92</v>
      </c>
      <c r="J15" t="s">
        <v>7</v>
      </c>
      <c r="K15" t="s">
        <v>93</v>
      </c>
      <c r="L15">
        <v>385.21499999999997</v>
      </c>
      <c r="M15">
        <v>399.16500000000002</v>
      </c>
      <c r="N15">
        <v>425.54899999999998</v>
      </c>
      <c r="O15">
        <v>2021</v>
      </c>
      <c r="P15">
        <f>IFERROR(MATCH(gdp[[#This Row],[UID]],data[UID],0),0)</f>
        <v>14</v>
      </c>
    </row>
    <row r="16" spans="1:16" x14ac:dyDescent="0.25">
      <c r="A16" t="str">
        <f>gdp[[#This Row],[Year]]&amp;"-"&amp;gdp[[#This Row],[State]]</f>
        <v>2023-Italy</v>
      </c>
      <c r="B16" s="3">
        <v>2023</v>
      </c>
      <c r="C16" s="5">
        <f>DATE(gdp[[#This Row],[Year]]-1,4,1)</f>
        <v>44652</v>
      </c>
      <c r="D16" s="3">
        <f>gdp[[#This Row],[Year]]-5</f>
        <v>2018</v>
      </c>
      <c r="E16" s="3">
        <f>gdp[[#This Row],[Year]]-3</f>
        <v>2020</v>
      </c>
      <c r="F16" s="15" t="str">
        <f>IFERROR(INDEX(StateNames[State],MATCH("GDP"&amp;gdp[[#This Row],[Year]]&amp;gdp[[#This Row],[Country]],StateNames[SNUID],0)), gdp[[#This Row],[Country]])</f>
        <v>Italy</v>
      </c>
      <c r="G16" t="s">
        <v>22</v>
      </c>
      <c r="H16" t="s">
        <v>6</v>
      </c>
      <c r="I16" t="s">
        <v>92</v>
      </c>
      <c r="J16" t="s">
        <v>7</v>
      </c>
      <c r="K16" t="s">
        <v>93</v>
      </c>
      <c r="L16">
        <v>2092.8820000000001</v>
      </c>
      <c r="M16">
        <v>2011.508</v>
      </c>
      <c r="N16">
        <v>1891.057</v>
      </c>
      <c r="O16">
        <v>2020</v>
      </c>
      <c r="P16">
        <f>IFERROR(MATCH(gdp[[#This Row],[UID]],data[UID],0),0)</f>
        <v>15</v>
      </c>
    </row>
    <row r="17" spans="1:16" x14ac:dyDescent="0.25">
      <c r="A17" t="str">
        <f>gdp[[#This Row],[Year]]&amp;"-"&amp;gdp[[#This Row],[State]]</f>
        <v>2023-Lithuania</v>
      </c>
      <c r="B17" s="3">
        <v>2023</v>
      </c>
      <c r="C17" s="5">
        <f>DATE(gdp[[#This Row],[Year]]-1,4,1)</f>
        <v>44652</v>
      </c>
      <c r="D17" s="3">
        <f>gdp[[#This Row],[Year]]-5</f>
        <v>2018</v>
      </c>
      <c r="E17" s="3">
        <f>gdp[[#This Row],[Year]]-3</f>
        <v>2020</v>
      </c>
      <c r="F17" s="15" t="str">
        <f>IFERROR(INDEX(StateNames[State],MATCH("GDP"&amp;gdp[[#This Row],[Year]]&amp;gdp[[#This Row],[Country]],StateNames[SNUID],0)), gdp[[#This Row],[Country]])</f>
        <v>Lithuania</v>
      </c>
      <c r="G17" t="s">
        <v>23</v>
      </c>
      <c r="H17" t="s">
        <v>6</v>
      </c>
      <c r="I17" t="s">
        <v>92</v>
      </c>
      <c r="J17" t="s">
        <v>7</v>
      </c>
      <c r="K17" t="s">
        <v>93</v>
      </c>
      <c r="L17">
        <v>53.774999999999999</v>
      </c>
      <c r="M17">
        <v>54.703000000000003</v>
      </c>
      <c r="N17">
        <v>56.502000000000002</v>
      </c>
      <c r="O17">
        <v>2021</v>
      </c>
      <c r="P17">
        <f>IFERROR(MATCH(gdp[[#This Row],[UID]],data[UID],0),0)</f>
        <v>16</v>
      </c>
    </row>
    <row r="18" spans="1:16" x14ac:dyDescent="0.25">
      <c r="A18" t="str">
        <f>gdp[[#This Row],[Year]]&amp;"-"&amp;gdp[[#This Row],[State]]</f>
        <v>2023-Luxembourg</v>
      </c>
      <c r="B18" s="3">
        <v>2023</v>
      </c>
      <c r="C18" s="5">
        <f>DATE(gdp[[#This Row],[Year]]-1,4,1)</f>
        <v>44652</v>
      </c>
      <c r="D18" s="3">
        <f>gdp[[#This Row],[Year]]-5</f>
        <v>2018</v>
      </c>
      <c r="E18" s="3">
        <f>gdp[[#This Row],[Year]]-3</f>
        <v>2020</v>
      </c>
      <c r="F18" s="15" t="str">
        <f>IFERROR(INDEX(StateNames[State],MATCH("GDP"&amp;gdp[[#This Row],[Year]]&amp;gdp[[#This Row],[Country]],StateNames[SNUID],0)), gdp[[#This Row],[Country]])</f>
        <v>Luxembourg</v>
      </c>
      <c r="G18" t="s">
        <v>24</v>
      </c>
      <c r="H18" t="s">
        <v>6</v>
      </c>
      <c r="I18" t="s">
        <v>92</v>
      </c>
      <c r="J18" t="s">
        <v>7</v>
      </c>
      <c r="K18" t="s">
        <v>93</v>
      </c>
      <c r="L18">
        <v>71.316999999999993</v>
      </c>
      <c r="M18">
        <v>70.203000000000003</v>
      </c>
      <c r="N18">
        <v>73.293999999999997</v>
      </c>
      <c r="O18">
        <v>2020</v>
      </c>
      <c r="P18">
        <f>IFERROR(MATCH(gdp[[#This Row],[UID]],data[UID],0),0)</f>
        <v>17</v>
      </c>
    </row>
    <row r="19" spans="1:16" x14ac:dyDescent="0.25">
      <c r="A19" t="str">
        <f>gdp[[#This Row],[Year]]&amp;"-"&amp;gdp[[#This Row],[State]]</f>
        <v>2023-Malta</v>
      </c>
      <c r="B19" s="3">
        <v>2023</v>
      </c>
      <c r="C19" s="5">
        <f>DATE(gdp[[#This Row],[Year]]-1,4,1)</f>
        <v>44652</v>
      </c>
      <c r="D19" s="3">
        <f>gdp[[#This Row],[Year]]-5</f>
        <v>2018</v>
      </c>
      <c r="E19" s="3">
        <f>gdp[[#This Row],[Year]]-3</f>
        <v>2020</v>
      </c>
      <c r="F19" s="15" t="str">
        <f>IFERROR(INDEX(StateNames[State],MATCH("GDP"&amp;gdp[[#This Row],[Year]]&amp;gdp[[#This Row],[Country]],StateNames[SNUID],0)), gdp[[#This Row],[Country]])</f>
        <v>Malta</v>
      </c>
      <c r="G19" t="s">
        <v>25</v>
      </c>
      <c r="H19" t="s">
        <v>6</v>
      </c>
      <c r="I19" t="s">
        <v>92</v>
      </c>
      <c r="J19" t="s">
        <v>7</v>
      </c>
      <c r="K19" t="s">
        <v>93</v>
      </c>
      <c r="L19">
        <v>15.308999999999999</v>
      </c>
      <c r="M19">
        <v>15.722</v>
      </c>
      <c r="N19">
        <v>14.904999999999999</v>
      </c>
      <c r="O19">
        <v>2021</v>
      </c>
      <c r="P19">
        <f>IFERROR(MATCH(gdp[[#This Row],[UID]],data[UID],0),0)</f>
        <v>18</v>
      </c>
    </row>
    <row r="20" spans="1:16" x14ac:dyDescent="0.25">
      <c r="A20" t="str">
        <f>gdp[[#This Row],[Year]]&amp;"-"&amp;gdp[[#This Row],[State]]</f>
        <v>2023-Netherlands</v>
      </c>
      <c r="B20" s="3">
        <v>2023</v>
      </c>
      <c r="C20" s="5">
        <f>DATE(gdp[[#This Row],[Year]]-1,4,1)</f>
        <v>44652</v>
      </c>
      <c r="D20" s="3">
        <f>gdp[[#This Row],[Year]]-5</f>
        <v>2018</v>
      </c>
      <c r="E20" s="3">
        <f>gdp[[#This Row],[Year]]-3</f>
        <v>2020</v>
      </c>
      <c r="F20" s="15" t="str">
        <f>IFERROR(INDEX(StateNames[State],MATCH("GDP"&amp;gdp[[#This Row],[Year]]&amp;gdp[[#This Row],[Country]],StateNames[SNUID],0)), gdp[[#This Row],[Country]])</f>
        <v>Netherlands</v>
      </c>
      <c r="G20" t="s">
        <v>26</v>
      </c>
      <c r="H20" t="s">
        <v>6</v>
      </c>
      <c r="I20" t="s">
        <v>92</v>
      </c>
      <c r="J20" t="s">
        <v>7</v>
      </c>
      <c r="K20" t="s">
        <v>93</v>
      </c>
      <c r="L20">
        <v>914.45799999999997</v>
      </c>
      <c r="M20">
        <v>910.29499999999996</v>
      </c>
      <c r="N20">
        <v>913.13400000000001</v>
      </c>
      <c r="O20">
        <v>2021</v>
      </c>
      <c r="P20">
        <f>IFERROR(MATCH(gdp[[#This Row],[UID]],data[UID],0),0)</f>
        <v>19</v>
      </c>
    </row>
    <row r="21" spans="1:16" x14ac:dyDescent="0.25">
      <c r="A21" t="str">
        <f>gdp[[#This Row],[Year]]&amp;"-"&amp;gdp[[#This Row],[State]]</f>
        <v>2023-Norway</v>
      </c>
      <c r="B21" s="3">
        <v>2023</v>
      </c>
      <c r="C21" s="5">
        <f>DATE(gdp[[#This Row],[Year]]-1,4,1)</f>
        <v>44652</v>
      </c>
      <c r="D21" s="3">
        <f>gdp[[#This Row],[Year]]-5</f>
        <v>2018</v>
      </c>
      <c r="E21" s="3">
        <f>gdp[[#This Row],[Year]]-3</f>
        <v>2020</v>
      </c>
      <c r="F21" s="15" t="str">
        <f>IFERROR(INDEX(StateNames[State],MATCH("GDP"&amp;gdp[[#This Row],[Year]]&amp;gdp[[#This Row],[Country]],StateNames[SNUID],0)), gdp[[#This Row],[Country]])</f>
        <v>Norway</v>
      </c>
      <c r="G21" t="s">
        <v>27</v>
      </c>
      <c r="H21" t="s">
        <v>6</v>
      </c>
      <c r="I21" t="s">
        <v>92</v>
      </c>
      <c r="J21" t="s">
        <v>7</v>
      </c>
      <c r="K21" t="s">
        <v>93</v>
      </c>
      <c r="L21">
        <v>437</v>
      </c>
      <c r="M21">
        <v>404.94099999999997</v>
      </c>
      <c r="N21">
        <v>362.19799999999998</v>
      </c>
      <c r="O21">
        <v>2021</v>
      </c>
      <c r="P21">
        <f>IFERROR(MATCH(gdp[[#This Row],[UID]],data[UID],0),0)</f>
        <v>20</v>
      </c>
    </row>
    <row r="22" spans="1:16" x14ac:dyDescent="0.25">
      <c r="A22" t="str">
        <f>gdp[[#This Row],[Year]]&amp;"-"&amp;gdp[[#This Row],[State]]</f>
        <v>2023-Portugal</v>
      </c>
      <c r="B22" s="3">
        <v>2023</v>
      </c>
      <c r="C22" s="5">
        <f>DATE(gdp[[#This Row],[Year]]-1,4,1)</f>
        <v>44652</v>
      </c>
      <c r="D22" s="3">
        <f>gdp[[#This Row],[Year]]-5</f>
        <v>2018</v>
      </c>
      <c r="E22" s="3">
        <f>gdp[[#This Row],[Year]]-3</f>
        <v>2020</v>
      </c>
      <c r="F22" s="15" t="str">
        <f>IFERROR(INDEX(StateNames[State],MATCH("GDP"&amp;gdp[[#This Row],[Year]]&amp;gdp[[#This Row],[Country]],StateNames[SNUID],0)), gdp[[#This Row],[Country]])</f>
        <v>Portugal</v>
      </c>
      <c r="G22" t="s">
        <v>28</v>
      </c>
      <c r="H22" t="s">
        <v>6</v>
      </c>
      <c r="I22" t="s">
        <v>92</v>
      </c>
      <c r="J22" t="s">
        <v>7</v>
      </c>
      <c r="K22" t="s">
        <v>93</v>
      </c>
      <c r="L22">
        <v>242.423</v>
      </c>
      <c r="M22">
        <v>240.01300000000001</v>
      </c>
      <c r="N22">
        <v>228.35599999999999</v>
      </c>
      <c r="O22">
        <v>2021</v>
      </c>
      <c r="P22">
        <f>IFERROR(MATCH(gdp[[#This Row],[UID]],data[UID],0),0)</f>
        <v>21</v>
      </c>
    </row>
    <row r="23" spans="1:16" x14ac:dyDescent="0.25">
      <c r="A23" t="str">
        <f>gdp[[#This Row],[Year]]&amp;"-"&amp;gdp[[#This Row],[State]]</f>
        <v>2023-Romania</v>
      </c>
      <c r="B23" s="3">
        <v>2023</v>
      </c>
      <c r="C23" s="5">
        <f>DATE(gdp[[#This Row],[Year]]-1,4,1)</f>
        <v>44652</v>
      </c>
      <c r="D23" s="3">
        <f>gdp[[#This Row],[Year]]-5</f>
        <v>2018</v>
      </c>
      <c r="E23" s="3">
        <f>gdp[[#This Row],[Year]]-3</f>
        <v>2020</v>
      </c>
      <c r="F23" s="15" t="str">
        <f>IFERROR(INDEX(StateNames[State],MATCH("GDP"&amp;gdp[[#This Row],[Year]]&amp;gdp[[#This Row],[Country]],StateNames[SNUID],0)), gdp[[#This Row],[Country]])</f>
        <v>Romania</v>
      </c>
      <c r="G23" t="s">
        <v>29</v>
      </c>
      <c r="H23" t="s">
        <v>6</v>
      </c>
      <c r="I23" t="s">
        <v>92</v>
      </c>
      <c r="J23" t="s">
        <v>7</v>
      </c>
      <c r="K23" t="s">
        <v>93</v>
      </c>
      <c r="L23">
        <v>241.45599999999999</v>
      </c>
      <c r="M23">
        <v>249.88</v>
      </c>
      <c r="N23">
        <v>249.512</v>
      </c>
      <c r="O23">
        <v>2020</v>
      </c>
      <c r="P23">
        <f>IFERROR(MATCH(gdp[[#This Row],[UID]],data[UID],0),0)</f>
        <v>22</v>
      </c>
    </row>
    <row r="24" spans="1:16" x14ac:dyDescent="0.25">
      <c r="A24" t="str">
        <f>gdp[[#This Row],[Year]]&amp;"-"&amp;gdp[[#This Row],[State]]</f>
        <v>2023-Slovakia</v>
      </c>
      <c r="B24" s="3">
        <v>2023</v>
      </c>
      <c r="C24" s="5">
        <f>DATE(gdp[[#This Row],[Year]]-1,4,1)</f>
        <v>44652</v>
      </c>
      <c r="D24" s="3">
        <f>gdp[[#This Row],[Year]]-5</f>
        <v>2018</v>
      </c>
      <c r="E24" s="3">
        <f>gdp[[#This Row],[Year]]-3</f>
        <v>2020</v>
      </c>
      <c r="F24" s="15" t="str">
        <f>IFERROR(INDEX(StateNames[State],MATCH("GDP"&amp;gdp[[#This Row],[Year]]&amp;gdp[[#This Row],[Country]],StateNames[SNUID],0)), gdp[[#This Row],[Country]])</f>
        <v>Slovakia</v>
      </c>
      <c r="G24" t="s">
        <v>30</v>
      </c>
      <c r="H24" t="s">
        <v>6</v>
      </c>
      <c r="I24" t="s">
        <v>92</v>
      </c>
      <c r="J24" t="s">
        <v>7</v>
      </c>
      <c r="K24" t="s">
        <v>93</v>
      </c>
      <c r="L24">
        <v>105.661</v>
      </c>
      <c r="M24">
        <v>105.29600000000001</v>
      </c>
      <c r="N24">
        <v>105.08799999999999</v>
      </c>
      <c r="O24">
        <v>2020</v>
      </c>
      <c r="P24">
        <f>IFERROR(MATCH(gdp[[#This Row],[UID]],data[UID],0),0)</f>
        <v>23</v>
      </c>
    </row>
    <row r="25" spans="1:16" x14ac:dyDescent="0.25">
      <c r="A25" t="str">
        <f>gdp[[#This Row],[Year]]&amp;"-"&amp;gdp[[#This Row],[State]]</f>
        <v>2023-Slovenia</v>
      </c>
      <c r="B25" s="3">
        <v>2023</v>
      </c>
      <c r="C25" s="5">
        <f>DATE(gdp[[#This Row],[Year]]-1,4,1)</f>
        <v>44652</v>
      </c>
      <c r="D25" s="3">
        <f>gdp[[#This Row],[Year]]-5</f>
        <v>2018</v>
      </c>
      <c r="E25" s="3">
        <f>gdp[[#This Row],[Year]]-3</f>
        <v>2020</v>
      </c>
      <c r="F25" s="15" t="str">
        <f>IFERROR(INDEX(StateNames[State],MATCH("GDP"&amp;gdp[[#This Row],[Year]]&amp;gdp[[#This Row],[Country]],StateNames[SNUID],0)), gdp[[#This Row],[Country]])</f>
        <v>Slovenia</v>
      </c>
      <c r="G25" t="s">
        <v>31</v>
      </c>
      <c r="H25" t="s">
        <v>6</v>
      </c>
      <c r="I25" t="s">
        <v>92</v>
      </c>
      <c r="J25" t="s">
        <v>7</v>
      </c>
      <c r="K25" t="s">
        <v>93</v>
      </c>
      <c r="L25">
        <v>54.188000000000002</v>
      </c>
      <c r="M25">
        <v>54.185000000000002</v>
      </c>
      <c r="N25">
        <v>53.546999999999997</v>
      </c>
      <c r="O25">
        <v>2021</v>
      </c>
      <c r="P25">
        <f>IFERROR(MATCH(gdp[[#This Row],[UID]],data[UID],0),0)</f>
        <v>24</v>
      </c>
    </row>
    <row r="26" spans="1:16" x14ac:dyDescent="0.25">
      <c r="A26" t="str">
        <f>gdp[[#This Row],[Year]]&amp;"-"&amp;gdp[[#This Row],[State]]</f>
        <v>2023-Spain</v>
      </c>
      <c r="B26" s="3">
        <v>2023</v>
      </c>
      <c r="C26" s="5">
        <f>DATE(gdp[[#This Row],[Year]]-1,4,1)</f>
        <v>44652</v>
      </c>
      <c r="D26" s="3">
        <f>gdp[[#This Row],[Year]]-5</f>
        <v>2018</v>
      </c>
      <c r="E26" s="3">
        <f>gdp[[#This Row],[Year]]-3</f>
        <v>2020</v>
      </c>
      <c r="F26" s="15" t="str">
        <f>IFERROR(INDEX(StateNames[State],MATCH("GDP"&amp;gdp[[#This Row],[Year]]&amp;gdp[[#This Row],[Country]],StateNames[SNUID],0)), gdp[[#This Row],[Country]])</f>
        <v>Spain</v>
      </c>
      <c r="G26" t="s">
        <v>32</v>
      </c>
      <c r="H26" t="s">
        <v>6</v>
      </c>
      <c r="I26" t="s">
        <v>92</v>
      </c>
      <c r="J26" t="s">
        <v>7</v>
      </c>
      <c r="K26" t="s">
        <v>93</v>
      </c>
      <c r="L26">
        <v>1421.6389999999999</v>
      </c>
      <c r="M26">
        <v>1393.2</v>
      </c>
      <c r="N26">
        <v>1280.4590000000001</v>
      </c>
      <c r="O26">
        <v>2021</v>
      </c>
      <c r="P26">
        <f>IFERROR(MATCH(gdp[[#This Row],[UID]],data[UID],0),0)</f>
        <v>25</v>
      </c>
    </row>
    <row r="27" spans="1:16" x14ac:dyDescent="0.25">
      <c r="A27" t="str">
        <f>gdp[[#This Row],[Year]]&amp;"-"&amp;gdp[[#This Row],[State]]</f>
        <v>2023-Sweden</v>
      </c>
      <c r="B27" s="3">
        <v>2023</v>
      </c>
      <c r="C27" s="5">
        <f>DATE(gdp[[#This Row],[Year]]-1,4,1)</f>
        <v>44652</v>
      </c>
      <c r="D27" s="3">
        <f>gdp[[#This Row],[Year]]-5</f>
        <v>2018</v>
      </c>
      <c r="E27" s="3">
        <f>gdp[[#This Row],[Year]]-3</f>
        <v>2020</v>
      </c>
      <c r="F27" s="15" t="str">
        <f>IFERROR(INDEX(StateNames[State],MATCH("GDP"&amp;gdp[[#This Row],[Year]]&amp;gdp[[#This Row],[Country]],StateNames[SNUID],0)), gdp[[#This Row],[Country]])</f>
        <v>Sweden</v>
      </c>
      <c r="G27" t="s">
        <v>33</v>
      </c>
      <c r="H27" t="s">
        <v>6</v>
      </c>
      <c r="I27" t="s">
        <v>92</v>
      </c>
      <c r="J27" t="s">
        <v>7</v>
      </c>
      <c r="K27" t="s">
        <v>93</v>
      </c>
      <c r="L27">
        <v>555.45500000000004</v>
      </c>
      <c r="M27">
        <v>533.88</v>
      </c>
      <c r="N27">
        <v>541.48699999999997</v>
      </c>
      <c r="O27">
        <v>2021</v>
      </c>
      <c r="P27">
        <f>IFERROR(MATCH(gdp[[#This Row],[UID]],data[UID],0),0)</f>
        <v>26</v>
      </c>
    </row>
    <row r="28" spans="1:16" x14ac:dyDescent="0.25">
      <c r="A28" t="str">
        <f>gdp[[#This Row],[Year]]&amp;"-"&amp;gdp[[#This Row],[State]]</f>
        <v>2023-Switzerland</v>
      </c>
      <c r="B28" s="3">
        <v>2023</v>
      </c>
      <c r="C28" s="5">
        <f>DATE(gdp[[#This Row],[Year]]-1,4,1)</f>
        <v>44652</v>
      </c>
      <c r="D28" s="3">
        <f>gdp[[#This Row],[Year]]-5</f>
        <v>2018</v>
      </c>
      <c r="E28" s="3">
        <f>gdp[[#This Row],[Year]]-3</f>
        <v>2020</v>
      </c>
      <c r="F28" s="15" t="str">
        <f>IFERROR(INDEX(StateNames[State],MATCH("GDP"&amp;gdp[[#This Row],[Year]]&amp;gdp[[#This Row],[Country]],StateNames[SNUID],0)), gdp[[#This Row],[Country]])</f>
        <v>Switzerland</v>
      </c>
      <c r="G28" t="s">
        <v>34</v>
      </c>
      <c r="H28" t="s">
        <v>6</v>
      </c>
      <c r="I28" t="s">
        <v>92</v>
      </c>
      <c r="J28" t="s">
        <v>7</v>
      </c>
      <c r="K28" t="s">
        <v>93</v>
      </c>
      <c r="L28">
        <v>736.02499999999998</v>
      </c>
      <c r="M28">
        <v>732.47199999999998</v>
      </c>
      <c r="N28">
        <v>751.74300000000005</v>
      </c>
      <c r="O28">
        <v>2021</v>
      </c>
      <c r="P28">
        <f>IFERROR(MATCH(gdp[[#This Row],[UID]],data[UID],0),0)</f>
        <v>27</v>
      </c>
    </row>
    <row r="29" spans="1:16" x14ac:dyDescent="0.25">
      <c r="A29" t="str">
        <f>gdp[[#This Row],[Year]]&amp;"-"&amp;gdp[[#This Row],[State]]</f>
        <v>2023-United Kingdom</v>
      </c>
      <c r="B29" s="3">
        <v>2023</v>
      </c>
      <c r="C29" s="5">
        <f>DATE(gdp[[#This Row],[Year]]-1,4,1)</f>
        <v>44652</v>
      </c>
      <c r="D29" s="3">
        <f>gdp[[#This Row],[Year]]-5</f>
        <v>2018</v>
      </c>
      <c r="E29" s="3">
        <f>gdp[[#This Row],[Year]]-3</f>
        <v>2020</v>
      </c>
      <c r="F29" s="15" t="str">
        <f>IFERROR(INDEX(StateNames[State],MATCH("GDP"&amp;gdp[[#This Row],[Year]]&amp;gdp[[#This Row],[Country]],StateNames[SNUID],0)), gdp[[#This Row],[Country]])</f>
        <v>United Kingdom</v>
      </c>
      <c r="G29" t="s">
        <v>35</v>
      </c>
      <c r="H29" t="s">
        <v>6</v>
      </c>
      <c r="I29" t="s">
        <v>92</v>
      </c>
      <c r="J29" t="s">
        <v>7</v>
      </c>
      <c r="K29" t="s">
        <v>93</v>
      </c>
      <c r="L29">
        <v>2904.5129999999999</v>
      </c>
      <c r="M29">
        <v>2880.357</v>
      </c>
      <c r="N29">
        <v>2758.87</v>
      </c>
      <c r="O29">
        <v>2020</v>
      </c>
      <c r="P29">
        <f>IFERROR(MATCH(gdp[[#This Row],[UID]],data[UID],0),0)</f>
        <v>28</v>
      </c>
    </row>
    <row r="30" spans="1:16" x14ac:dyDescent="0.25">
      <c r="A30" t="str">
        <f>gdp[[#This Row],[Year]]&amp;"-"&amp;gdp[[#This Row],[State]]</f>
        <v>2024-Austria</v>
      </c>
      <c r="B30" s="3">
        <v>2024</v>
      </c>
      <c r="C30" s="5">
        <f>DATE(gdp[[#This Row],[Year]]-1,4,1)</f>
        <v>45017</v>
      </c>
      <c r="D30" s="3">
        <f>gdp[[#This Row],[Year]]-5</f>
        <v>2019</v>
      </c>
      <c r="E30" s="3">
        <f>gdp[[#This Row],[Year]]-3</f>
        <v>2021</v>
      </c>
      <c r="F30" s="15" t="str">
        <f>IFERROR(INDEX(StateNames[State],MATCH("GDP"&amp;gdp[[#This Row],[Year]]&amp;gdp[[#This Row],[Country]],StateNames[SNUID],0)), gdp[[#This Row],[Country]])</f>
        <v>Austria</v>
      </c>
      <c r="G30" t="s">
        <v>8</v>
      </c>
      <c r="H30" t="s">
        <v>6</v>
      </c>
      <c r="I30" t="s">
        <v>92</v>
      </c>
      <c r="J30" t="s">
        <v>7</v>
      </c>
      <c r="K30" t="s">
        <v>93</v>
      </c>
      <c r="L30">
        <v>444.67</v>
      </c>
      <c r="M30">
        <v>434.87700000000001</v>
      </c>
      <c r="N30">
        <v>480.68799999999999</v>
      </c>
      <c r="O30">
        <v>2022</v>
      </c>
      <c r="P30">
        <f>IFERROR(MATCH(gdp[[#This Row],[UID]],data[UID],0),0)</f>
        <v>29</v>
      </c>
    </row>
    <row r="31" spans="1:16" x14ac:dyDescent="0.25">
      <c r="A31" t="str">
        <f>gdp[[#This Row],[Year]]&amp;"-"&amp;gdp[[#This Row],[State]]</f>
        <v>2024-Belgium</v>
      </c>
      <c r="B31" s="3">
        <v>2024</v>
      </c>
      <c r="C31" s="5">
        <f>DATE(gdp[[#This Row],[Year]]-1,4,1)</f>
        <v>45017</v>
      </c>
      <c r="D31" s="3">
        <f>gdp[[#This Row],[Year]]-5</f>
        <v>2019</v>
      </c>
      <c r="E31" s="3">
        <f>gdp[[#This Row],[Year]]-3</f>
        <v>2021</v>
      </c>
      <c r="F31" s="15" t="str">
        <f>IFERROR(INDEX(StateNames[State],MATCH("GDP"&amp;gdp[[#This Row],[Year]]&amp;gdp[[#This Row],[Country]],StateNames[SNUID],0)), gdp[[#This Row],[Country]])</f>
        <v>Belgium</v>
      </c>
      <c r="G31" t="s">
        <v>9</v>
      </c>
      <c r="H31" t="s">
        <v>6</v>
      </c>
      <c r="I31" t="s">
        <v>92</v>
      </c>
      <c r="J31" t="s">
        <v>7</v>
      </c>
      <c r="K31" t="s">
        <v>93</v>
      </c>
      <c r="L31">
        <v>535.89</v>
      </c>
      <c r="M31">
        <v>524.79100000000005</v>
      </c>
      <c r="N31">
        <v>594.5</v>
      </c>
      <c r="O31">
        <v>2022</v>
      </c>
      <c r="P31">
        <f>IFERROR(MATCH(gdp[[#This Row],[UID]],data[UID],0),0)</f>
        <v>30</v>
      </c>
    </row>
    <row r="32" spans="1:16" x14ac:dyDescent="0.25">
      <c r="A32" t="str">
        <f>gdp[[#This Row],[Year]]&amp;"-"&amp;gdp[[#This Row],[State]]</f>
        <v>2024-Bulgaria</v>
      </c>
      <c r="B32" s="3">
        <v>2024</v>
      </c>
      <c r="C32" s="5">
        <f>DATE(gdp[[#This Row],[Year]]-1,4,1)</f>
        <v>45017</v>
      </c>
      <c r="D32" s="3">
        <f>gdp[[#This Row],[Year]]-5</f>
        <v>2019</v>
      </c>
      <c r="E32" s="3">
        <f>gdp[[#This Row],[Year]]-3</f>
        <v>2021</v>
      </c>
      <c r="F32" s="15" t="str">
        <f>IFERROR(INDEX(StateNames[State],MATCH("GDP"&amp;gdp[[#This Row],[Year]]&amp;gdp[[#This Row],[Country]],StateNames[SNUID],0)), gdp[[#This Row],[Country]])</f>
        <v>Bulgaria</v>
      </c>
      <c r="G32" t="s">
        <v>10</v>
      </c>
      <c r="H32" t="s">
        <v>6</v>
      </c>
      <c r="I32" t="s">
        <v>92</v>
      </c>
      <c r="J32" t="s">
        <v>7</v>
      </c>
      <c r="K32" t="s">
        <v>93</v>
      </c>
      <c r="L32">
        <v>68.92</v>
      </c>
      <c r="M32">
        <v>70.346000000000004</v>
      </c>
      <c r="N32">
        <v>84.12</v>
      </c>
      <c r="O32">
        <v>2022</v>
      </c>
      <c r="P32">
        <f>IFERROR(MATCH(gdp[[#This Row],[UID]],data[UID],0),0)</f>
        <v>31</v>
      </c>
    </row>
    <row r="33" spans="1:16" x14ac:dyDescent="0.25">
      <c r="A33" t="str">
        <f>gdp[[#This Row],[Year]]&amp;"-"&amp;gdp[[#This Row],[State]]</f>
        <v>2024-Croatia</v>
      </c>
      <c r="B33" s="3">
        <v>2024</v>
      </c>
      <c r="C33" s="5">
        <f>DATE(gdp[[#This Row],[Year]]-1,4,1)</f>
        <v>45017</v>
      </c>
      <c r="D33" s="3">
        <f>gdp[[#This Row],[Year]]-5</f>
        <v>2019</v>
      </c>
      <c r="E33" s="3">
        <f>gdp[[#This Row],[Year]]-3</f>
        <v>2021</v>
      </c>
      <c r="F33" s="15" t="str">
        <f>IFERROR(INDEX(StateNames[State],MATCH("GDP"&amp;gdp[[#This Row],[Year]]&amp;gdp[[#This Row],[Country]],StateNames[SNUID],0)), gdp[[#This Row],[Country]])</f>
        <v>Croatia</v>
      </c>
      <c r="G33" t="s">
        <v>11</v>
      </c>
      <c r="H33" t="s">
        <v>6</v>
      </c>
      <c r="I33" t="s">
        <v>92</v>
      </c>
      <c r="J33" t="s">
        <v>7</v>
      </c>
      <c r="K33" t="s">
        <v>93</v>
      </c>
      <c r="L33">
        <v>61.337000000000003</v>
      </c>
      <c r="M33">
        <v>57.579000000000001</v>
      </c>
      <c r="N33">
        <v>68.891000000000005</v>
      </c>
      <c r="O33">
        <v>2021</v>
      </c>
      <c r="P33">
        <f>IFERROR(MATCH(gdp[[#This Row],[UID]],data[UID],0),0)</f>
        <v>32</v>
      </c>
    </row>
    <row r="34" spans="1:16" x14ac:dyDescent="0.25">
      <c r="A34" t="str">
        <f>gdp[[#This Row],[Year]]&amp;"-"&amp;gdp[[#This Row],[State]]</f>
        <v>2024-Cyprus</v>
      </c>
      <c r="B34" s="3">
        <v>2024</v>
      </c>
      <c r="C34" s="5">
        <f>DATE(gdp[[#This Row],[Year]]-1,4,1)</f>
        <v>45017</v>
      </c>
      <c r="D34" s="3">
        <f>gdp[[#This Row],[Year]]-5</f>
        <v>2019</v>
      </c>
      <c r="E34" s="3">
        <f>gdp[[#This Row],[Year]]-3</f>
        <v>2021</v>
      </c>
      <c r="F34" s="15" t="str">
        <f>IFERROR(INDEX(StateNames[State],MATCH("GDP"&amp;gdp[[#This Row],[Year]]&amp;gdp[[#This Row],[Country]],StateNames[SNUID],0)), gdp[[#This Row],[Country]])</f>
        <v>Cyprus</v>
      </c>
      <c r="G34" t="s">
        <v>12</v>
      </c>
      <c r="H34" t="s">
        <v>6</v>
      </c>
      <c r="I34" t="s">
        <v>92</v>
      </c>
      <c r="J34" t="s">
        <v>7</v>
      </c>
      <c r="K34" t="s">
        <v>93</v>
      </c>
      <c r="L34">
        <v>25.948</v>
      </c>
      <c r="M34">
        <v>24.988</v>
      </c>
      <c r="N34">
        <v>28.427</v>
      </c>
      <c r="O34">
        <v>2022</v>
      </c>
      <c r="P34">
        <f>IFERROR(MATCH(gdp[[#This Row],[UID]],data[UID],0),0)</f>
        <v>33</v>
      </c>
    </row>
    <row r="35" spans="1:16" x14ac:dyDescent="0.25">
      <c r="A35" t="str">
        <f>gdp[[#This Row],[Year]]&amp;"-"&amp;gdp[[#This Row],[State]]</f>
        <v>2024-Czech Republic</v>
      </c>
      <c r="B35" s="3">
        <v>2024</v>
      </c>
      <c r="C35" s="5">
        <f>DATE(gdp[[#This Row],[Year]]-1,4,1)</f>
        <v>45017</v>
      </c>
      <c r="D35" s="3">
        <f>gdp[[#This Row],[Year]]-5</f>
        <v>2019</v>
      </c>
      <c r="E35" s="3">
        <f>gdp[[#This Row],[Year]]-3</f>
        <v>2021</v>
      </c>
      <c r="F35" s="15" t="str">
        <f>IFERROR(INDEX(StateNames[State],MATCH("GDP"&amp;gdp[[#This Row],[Year]]&amp;gdp[[#This Row],[Country]],StateNames[SNUID],0)), gdp[[#This Row],[Country]])</f>
        <v>Czech Republic</v>
      </c>
      <c r="G35" t="s">
        <v>13</v>
      </c>
      <c r="H35" t="s">
        <v>6</v>
      </c>
      <c r="I35" t="s">
        <v>92</v>
      </c>
      <c r="J35" t="s">
        <v>7</v>
      </c>
      <c r="K35" t="s">
        <v>93</v>
      </c>
      <c r="L35">
        <v>252.548</v>
      </c>
      <c r="M35">
        <v>245.97499999999999</v>
      </c>
      <c r="N35">
        <v>281.791</v>
      </c>
      <c r="O35">
        <v>2021</v>
      </c>
      <c r="P35">
        <f>IFERROR(MATCH(gdp[[#This Row],[UID]],data[UID],0),0)</f>
        <v>34</v>
      </c>
    </row>
    <row r="36" spans="1:16" x14ac:dyDescent="0.25">
      <c r="A36" t="str">
        <f>gdp[[#This Row],[Year]]&amp;"-"&amp;gdp[[#This Row],[State]]</f>
        <v>2024-Denmark</v>
      </c>
      <c r="B36" s="3">
        <v>2024</v>
      </c>
      <c r="C36" s="5">
        <f>DATE(gdp[[#This Row],[Year]]-1,4,1)</f>
        <v>45017</v>
      </c>
      <c r="D36" s="3">
        <f>gdp[[#This Row],[Year]]-5</f>
        <v>2019</v>
      </c>
      <c r="E36" s="3">
        <f>gdp[[#This Row],[Year]]-3</f>
        <v>2021</v>
      </c>
      <c r="F36" s="15" t="str">
        <f>IFERROR(INDEX(StateNames[State],MATCH("GDP"&amp;gdp[[#This Row],[Year]]&amp;gdp[[#This Row],[Country]],StateNames[SNUID],0)), gdp[[#This Row],[Country]])</f>
        <v>Denmark</v>
      </c>
      <c r="G36" t="s">
        <v>14</v>
      </c>
      <c r="H36" t="s">
        <v>6</v>
      </c>
      <c r="I36" t="s">
        <v>92</v>
      </c>
      <c r="J36" t="s">
        <v>7</v>
      </c>
      <c r="K36" t="s">
        <v>93</v>
      </c>
      <c r="L36">
        <v>346.49900000000002</v>
      </c>
      <c r="M36">
        <v>355.22300000000001</v>
      </c>
      <c r="N36">
        <v>398.303</v>
      </c>
      <c r="O36">
        <v>2022</v>
      </c>
      <c r="P36">
        <f>IFERROR(MATCH(gdp[[#This Row],[UID]],data[UID],0),0)</f>
        <v>35</v>
      </c>
    </row>
    <row r="37" spans="1:16" x14ac:dyDescent="0.25">
      <c r="A37" t="str">
        <f>gdp[[#This Row],[Year]]&amp;"-"&amp;gdp[[#This Row],[State]]</f>
        <v>2024-Estonia</v>
      </c>
      <c r="B37" s="3">
        <v>2024</v>
      </c>
      <c r="C37" s="5">
        <f>DATE(gdp[[#This Row],[Year]]-1,4,1)</f>
        <v>45017</v>
      </c>
      <c r="D37" s="3">
        <f>gdp[[#This Row],[Year]]-5</f>
        <v>2019</v>
      </c>
      <c r="E37" s="3">
        <f>gdp[[#This Row],[Year]]-3</f>
        <v>2021</v>
      </c>
      <c r="F37" s="15" t="str">
        <f>IFERROR(INDEX(StateNames[State],MATCH("GDP"&amp;gdp[[#This Row],[Year]]&amp;gdp[[#This Row],[Country]],StateNames[SNUID],0)), gdp[[#This Row],[Country]])</f>
        <v>Estonia</v>
      </c>
      <c r="G37" t="s">
        <v>15</v>
      </c>
      <c r="H37" t="s">
        <v>6</v>
      </c>
      <c r="I37" t="s">
        <v>92</v>
      </c>
      <c r="J37" t="s">
        <v>7</v>
      </c>
      <c r="K37" t="s">
        <v>93</v>
      </c>
      <c r="L37">
        <v>31.085000000000001</v>
      </c>
      <c r="M37">
        <v>31.344999999999999</v>
      </c>
      <c r="N37">
        <v>37.216000000000001</v>
      </c>
      <c r="O37">
        <v>2022</v>
      </c>
      <c r="P37">
        <f>IFERROR(MATCH(gdp[[#This Row],[UID]],data[UID],0),0)</f>
        <v>36</v>
      </c>
    </row>
    <row r="38" spans="1:16" x14ac:dyDescent="0.25">
      <c r="A38" t="str">
        <f>gdp[[#This Row],[Year]]&amp;"-"&amp;gdp[[#This Row],[State]]</f>
        <v>2024-Finland</v>
      </c>
      <c r="B38" s="3">
        <v>2024</v>
      </c>
      <c r="C38" s="5">
        <f>DATE(gdp[[#This Row],[Year]]-1,4,1)</f>
        <v>45017</v>
      </c>
      <c r="D38" s="3">
        <f>gdp[[#This Row],[Year]]-5</f>
        <v>2019</v>
      </c>
      <c r="E38" s="3">
        <f>gdp[[#This Row],[Year]]-3</f>
        <v>2021</v>
      </c>
      <c r="F38" s="15" t="str">
        <f>IFERROR(INDEX(StateNames[State],MATCH("GDP"&amp;gdp[[#This Row],[Year]]&amp;gdp[[#This Row],[Country]],StateNames[SNUID],0)), gdp[[#This Row],[Country]])</f>
        <v>Finland</v>
      </c>
      <c r="G38" t="s">
        <v>16</v>
      </c>
      <c r="H38" t="s">
        <v>6</v>
      </c>
      <c r="I38" t="s">
        <v>92</v>
      </c>
      <c r="J38" t="s">
        <v>7</v>
      </c>
      <c r="K38" t="s">
        <v>93</v>
      </c>
      <c r="L38">
        <v>268.54500000000002</v>
      </c>
      <c r="M38">
        <v>271.66800000000001</v>
      </c>
      <c r="N38">
        <v>296.58499999999998</v>
      </c>
      <c r="O38">
        <v>2022</v>
      </c>
      <c r="P38">
        <f>IFERROR(MATCH(gdp[[#This Row],[UID]],data[UID],0),0)</f>
        <v>37</v>
      </c>
    </row>
    <row r="39" spans="1:16" x14ac:dyDescent="0.25">
      <c r="A39" t="str">
        <f>gdp[[#This Row],[Year]]&amp;"-"&amp;gdp[[#This Row],[State]]</f>
        <v>2024-France</v>
      </c>
      <c r="B39" s="3">
        <v>2024</v>
      </c>
      <c r="C39" s="5">
        <f>DATE(gdp[[#This Row],[Year]]-1,4,1)</f>
        <v>45017</v>
      </c>
      <c r="D39" s="3">
        <f>gdp[[#This Row],[Year]]-5</f>
        <v>2019</v>
      </c>
      <c r="E39" s="3">
        <f>gdp[[#This Row],[Year]]-3</f>
        <v>2021</v>
      </c>
      <c r="F39" s="15" t="str">
        <f>IFERROR(INDEX(StateNames[State],MATCH("GDP"&amp;gdp[[#This Row],[Year]]&amp;gdp[[#This Row],[Country]],StateNames[SNUID],0)), gdp[[#This Row],[Country]])</f>
        <v>France</v>
      </c>
      <c r="G39" t="s">
        <v>17</v>
      </c>
      <c r="H39" t="s">
        <v>6</v>
      </c>
      <c r="I39" t="s">
        <v>92</v>
      </c>
      <c r="J39" t="s">
        <v>7</v>
      </c>
      <c r="K39" t="s">
        <v>93</v>
      </c>
      <c r="L39">
        <v>2729.1709999999998</v>
      </c>
      <c r="M39">
        <v>2635.9209999999998</v>
      </c>
      <c r="N39">
        <v>2957.4229999999998</v>
      </c>
      <c r="O39">
        <v>2021</v>
      </c>
      <c r="P39">
        <f>IFERROR(MATCH(gdp[[#This Row],[UID]],data[UID],0),0)</f>
        <v>38</v>
      </c>
    </row>
    <row r="40" spans="1:16" x14ac:dyDescent="0.25">
      <c r="A40" t="str">
        <f>gdp[[#This Row],[Year]]&amp;"-"&amp;gdp[[#This Row],[State]]</f>
        <v>2024-Germany</v>
      </c>
      <c r="B40" s="3">
        <v>2024</v>
      </c>
      <c r="C40" s="5">
        <f>DATE(gdp[[#This Row],[Year]]-1,4,1)</f>
        <v>45017</v>
      </c>
      <c r="D40" s="3">
        <f>gdp[[#This Row],[Year]]-5</f>
        <v>2019</v>
      </c>
      <c r="E40" s="3">
        <f>gdp[[#This Row],[Year]]-3</f>
        <v>2021</v>
      </c>
      <c r="F40" s="15" t="str">
        <f>IFERROR(INDEX(StateNames[State],MATCH("GDP"&amp;gdp[[#This Row],[Year]]&amp;gdp[[#This Row],[Country]],StateNames[SNUID],0)), gdp[[#This Row],[Country]])</f>
        <v>Germany</v>
      </c>
      <c r="G40" t="s">
        <v>18</v>
      </c>
      <c r="H40" t="s">
        <v>6</v>
      </c>
      <c r="I40" t="s">
        <v>92</v>
      </c>
      <c r="J40" t="s">
        <v>7</v>
      </c>
      <c r="K40" t="s">
        <v>93</v>
      </c>
      <c r="L40">
        <v>3888.6550000000002</v>
      </c>
      <c r="M40">
        <v>3886.5549999999998</v>
      </c>
      <c r="N40">
        <v>4262.7669999999998</v>
      </c>
      <c r="O40">
        <v>2022</v>
      </c>
      <c r="P40">
        <f>IFERROR(MATCH(gdp[[#This Row],[UID]],data[UID],0),0)</f>
        <v>39</v>
      </c>
    </row>
    <row r="41" spans="1:16" x14ac:dyDescent="0.25">
      <c r="A41" t="str">
        <f>gdp[[#This Row],[Year]]&amp;"-"&amp;gdp[[#This Row],[State]]</f>
        <v>2024-Greece</v>
      </c>
      <c r="B41" s="3">
        <v>2024</v>
      </c>
      <c r="C41" s="5">
        <f>DATE(gdp[[#This Row],[Year]]-1,4,1)</f>
        <v>45017</v>
      </c>
      <c r="D41" s="3">
        <f>gdp[[#This Row],[Year]]-5</f>
        <v>2019</v>
      </c>
      <c r="E41" s="3">
        <f>gdp[[#This Row],[Year]]-3</f>
        <v>2021</v>
      </c>
      <c r="F41" s="15" t="str">
        <f>IFERROR(INDEX(StateNames[State],MATCH("GDP"&amp;gdp[[#This Row],[Year]]&amp;gdp[[#This Row],[Country]],StateNames[SNUID],0)), gdp[[#This Row],[Country]])</f>
        <v>Greece</v>
      </c>
      <c r="G41" t="s">
        <v>19</v>
      </c>
      <c r="H41" t="s">
        <v>6</v>
      </c>
      <c r="I41" t="s">
        <v>92</v>
      </c>
      <c r="J41" t="s">
        <v>7</v>
      </c>
      <c r="K41" t="s">
        <v>93</v>
      </c>
      <c r="L41">
        <v>205.279</v>
      </c>
      <c r="M41">
        <v>188.774</v>
      </c>
      <c r="N41">
        <v>215.017</v>
      </c>
      <c r="O41">
        <v>2022</v>
      </c>
      <c r="P41">
        <f>IFERROR(MATCH(gdp[[#This Row],[UID]],data[UID],0),0)</f>
        <v>40</v>
      </c>
    </row>
    <row r="42" spans="1:16" x14ac:dyDescent="0.25">
      <c r="A42" t="str">
        <f>gdp[[#This Row],[Year]]&amp;"-"&amp;gdp[[#This Row],[State]]</f>
        <v>2024-Iceland</v>
      </c>
      <c r="B42" s="3">
        <v>2024</v>
      </c>
      <c r="C42" s="5">
        <f>DATE(gdp[[#This Row],[Year]]-1,4,1)</f>
        <v>45017</v>
      </c>
      <c r="D42" s="3">
        <f>gdp[[#This Row],[Year]]-5</f>
        <v>2019</v>
      </c>
      <c r="E42" s="3">
        <f>gdp[[#This Row],[Year]]-3</f>
        <v>2021</v>
      </c>
      <c r="F42" s="15" t="str">
        <f>IFERROR(INDEX(StateNames[State],MATCH("GDP"&amp;gdp[[#This Row],[Year]]&amp;gdp[[#This Row],[Country]],StateNames[SNUID],0)), gdp[[#This Row],[Country]])</f>
        <v>Iceland</v>
      </c>
      <c r="G42" t="s">
        <v>20</v>
      </c>
      <c r="H42" t="s">
        <v>6</v>
      </c>
      <c r="I42" t="s">
        <v>92</v>
      </c>
      <c r="J42" t="s">
        <v>7</v>
      </c>
      <c r="K42" t="s">
        <v>93</v>
      </c>
      <c r="L42">
        <v>24.664000000000001</v>
      </c>
      <c r="M42">
        <v>21.553000000000001</v>
      </c>
      <c r="N42">
        <v>25.553000000000001</v>
      </c>
      <c r="O42">
        <v>2021</v>
      </c>
      <c r="P42">
        <f>IFERROR(MATCH(gdp[[#This Row],[UID]],data[UID],0),0)</f>
        <v>41</v>
      </c>
    </row>
    <row r="43" spans="1:16" x14ac:dyDescent="0.25">
      <c r="A43" t="str">
        <f>gdp[[#This Row],[Year]]&amp;"-"&amp;gdp[[#This Row],[State]]</f>
        <v>2024-Ireland</v>
      </c>
      <c r="B43" s="3">
        <v>2024</v>
      </c>
      <c r="C43" s="5">
        <f>DATE(gdp[[#This Row],[Year]]-1,4,1)</f>
        <v>45017</v>
      </c>
      <c r="D43" s="3">
        <f>gdp[[#This Row],[Year]]-5</f>
        <v>2019</v>
      </c>
      <c r="E43" s="3">
        <f>gdp[[#This Row],[Year]]-3</f>
        <v>2021</v>
      </c>
      <c r="F43" s="15" t="str">
        <f>IFERROR(INDEX(StateNames[State],MATCH("GDP"&amp;gdp[[#This Row],[Year]]&amp;gdp[[#This Row],[Country]],StateNames[SNUID],0)), gdp[[#This Row],[Country]])</f>
        <v>Ireland</v>
      </c>
      <c r="G43" t="s">
        <v>21</v>
      </c>
      <c r="H43" t="s">
        <v>6</v>
      </c>
      <c r="I43" t="s">
        <v>92</v>
      </c>
      <c r="J43" t="s">
        <v>7</v>
      </c>
      <c r="K43" t="s">
        <v>93</v>
      </c>
      <c r="L43">
        <v>399.36599999999999</v>
      </c>
      <c r="M43">
        <v>425.51100000000002</v>
      </c>
      <c r="N43">
        <v>504.517</v>
      </c>
      <c r="O43">
        <v>2022</v>
      </c>
      <c r="P43">
        <f>IFERROR(MATCH(gdp[[#This Row],[UID]],data[UID],0),0)</f>
        <v>42</v>
      </c>
    </row>
    <row r="44" spans="1:16" x14ac:dyDescent="0.25">
      <c r="A44" t="str">
        <f>gdp[[#This Row],[Year]]&amp;"-"&amp;gdp[[#This Row],[State]]</f>
        <v>2024-Italy</v>
      </c>
      <c r="B44" s="3">
        <v>2024</v>
      </c>
      <c r="C44" s="5">
        <f>DATE(gdp[[#This Row],[Year]]-1,4,1)</f>
        <v>45017</v>
      </c>
      <c r="D44" s="3">
        <f>gdp[[#This Row],[Year]]-5</f>
        <v>2019</v>
      </c>
      <c r="E44" s="3">
        <f>gdp[[#This Row],[Year]]-3</f>
        <v>2021</v>
      </c>
      <c r="F44" s="15" t="str">
        <f>IFERROR(INDEX(StateNames[State],MATCH("GDP"&amp;gdp[[#This Row],[Year]]&amp;gdp[[#This Row],[Country]],StateNames[SNUID],0)), gdp[[#This Row],[Country]])</f>
        <v>Italy</v>
      </c>
      <c r="G44" t="s">
        <v>22</v>
      </c>
      <c r="H44" t="s">
        <v>6</v>
      </c>
      <c r="I44" t="s">
        <v>92</v>
      </c>
      <c r="J44" t="s">
        <v>7</v>
      </c>
      <c r="K44" t="s">
        <v>93</v>
      </c>
      <c r="L44">
        <v>2011.5239999999999</v>
      </c>
      <c r="M44">
        <v>1895.692</v>
      </c>
      <c r="N44">
        <v>2115.7620000000002</v>
      </c>
      <c r="O44">
        <v>2022</v>
      </c>
      <c r="P44">
        <f>IFERROR(MATCH(gdp[[#This Row],[UID]],data[UID],0),0)</f>
        <v>43</v>
      </c>
    </row>
    <row r="45" spans="1:16" x14ac:dyDescent="0.25">
      <c r="A45" t="str">
        <f>gdp[[#This Row],[Year]]&amp;"-"&amp;gdp[[#This Row],[State]]</f>
        <v>2024-Lithuania</v>
      </c>
      <c r="B45" s="3">
        <v>2024</v>
      </c>
      <c r="C45" s="5">
        <f>DATE(gdp[[#This Row],[Year]]-1,4,1)</f>
        <v>45017</v>
      </c>
      <c r="D45" s="3">
        <f>gdp[[#This Row],[Year]]-5</f>
        <v>2019</v>
      </c>
      <c r="E45" s="3">
        <f>gdp[[#This Row],[Year]]-3</f>
        <v>2021</v>
      </c>
      <c r="F45" s="15" t="str">
        <f>IFERROR(INDEX(StateNames[State],MATCH("GDP"&amp;gdp[[#This Row],[Year]]&amp;gdp[[#This Row],[Country]],StateNames[SNUID],0)), gdp[[#This Row],[Country]])</f>
        <v>Lithuania</v>
      </c>
      <c r="G45" t="s">
        <v>23</v>
      </c>
      <c r="H45" t="s">
        <v>6</v>
      </c>
      <c r="I45" t="s">
        <v>92</v>
      </c>
      <c r="J45" t="s">
        <v>7</v>
      </c>
      <c r="K45" t="s">
        <v>93</v>
      </c>
      <c r="L45">
        <v>54.758000000000003</v>
      </c>
      <c r="M45">
        <v>56.801000000000002</v>
      </c>
      <c r="N45">
        <v>66.489000000000004</v>
      </c>
      <c r="O45">
        <v>2022</v>
      </c>
      <c r="P45">
        <f>IFERROR(MATCH(gdp[[#This Row],[UID]],data[UID],0),0)</f>
        <v>44</v>
      </c>
    </row>
    <row r="46" spans="1:16" x14ac:dyDescent="0.25">
      <c r="A46" t="str">
        <f>gdp[[#This Row],[Year]]&amp;"-"&amp;gdp[[#This Row],[State]]</f>
        <v>2024-Luxembourg</v>
      </c>
      <c r="B46" s="3">
        <v>2024</v>
      </c>
      <c r="C46" s="5">
        <f>DATE(gdp[[#This Row],[Year]]-1,4,1)</f>
        <v>45017</v>
      </c>
      <c r="D46" s="3">
        <f>gdp[[#This Row],[Year]]-5</f>
        <v>2019</v>
      </c>
      <c r="E46" s="3">
        <f>gdp[[#This Row],[Year]]-3</f>
        <v>2021</v>
      </c>
      <c r="F46" s="15" t="str">
        <f>IFERROR(INDEX(StateNames[State],MATCH("GDP"&amp;gdp[[#This Row],[Year]]&amp;gdp[[#This Row],[Country]],StateNames[SNUID],0)), gdp[[#This Row],[Country]])</f>
        <v>Luxembourg</v>
      </c>
      <c r="G46" t="s">
        <v>24</v>
      </c>
      <c r="H46" t="s">
        <v>6</v>
      </c>
      <c r="I46" t="s">
        <v>92</v>
      </c>
      <c r="J46" t="s">
        <v>7</v>
      </c>
      <c r="K46" t="s">
        <v>93</v>
      </c>
      <c r="L46">
        <v>69.832999999999998</v>
      </c>
      <c r="M46">
        <v>73.933000000000007</v>
      </c>
      <c r="N46">
        <v>85.563000000000002</v>
      </c>
      <c r="O46">
        <v>2022</v>
      </c>
      <c r="P46">
        <f>IFERROR(MATCH(gdp[[#This Row],[UID]],data[UID],0),0)</f>
        <v>45</v>
      </c>
    </row>
    <row r="47" spans="1:16" x14ac:dyDescent="0.25">
      <c r="A47" t="str">
        <f>gdp[[#This Row],[Year]]&amp;"-"&amp;gdp[[#This Row],[State]]</f>
        <v>2024-Malta</v>
      </c>
      <c r="B47" s="3">
        <v>2024</v>
      </c>
      <c r="C47" s="5">
        <f>DATE(gdp[[#This Row],[Year]]-1,4,1)</f>
        <v>45017</v>
      </c>
      <c r="D47" s="3">
        <f>gdp[[#This Row],[Year]]-5</f>
        <v>2019</v>
      </c>
      <c r="E47" s="3">
        <f>gdp[[#This Row],[Year]]-3</f>
        <v>2021</v>
      </c>
      <c r="F47" s="15" t="str">
        <f>IFERROR(INDEX(StateNames[State],MATCH("GDP"&amp;gdp[[#This Row],[Year]]&amp;gdp[[#This Row],[Country]],StateNames[SNUID],0)), gdp[[#This Row],[Country]])</f>
        <v>Malta</v>
      </c>
      <c r="G47" t="s">
        <v>25</v>
      </c>
      <c r="H47" t="s">
        <v>6</v>
      </c>
      <c r="I47" t="s">
        <v>92</v>
      </c>
      <c r="J47" t="s">
        <v>7</v>
      </c>
      <c r="K47" t="s">
        <v>93</v>
      </c>
      <c r="L47">
        <v>15.882999999999999</v>
      </c>
      <c r="M47">
        <v>15.034000000000001</v>
      </c>
      <c r="N47">
        <v>17.754999999999999</v>
      </c>
      <c r="O47">
        <v>2022</v>
      </c>
      <c r="P47">
        <f>IFERROR(MATCH(gdp[[#This Row],[UID]],data[UID],0),0)</f>
        <v>46</v>
      </c>
    </row>
    <row r="48" spans="1:16" x14ac:dyDescent="0.25">
      <c r="A48" t="str">
        <f>gdp[[#This Row],[Year]]&amp;"-"&amp;gdp[[#This Row],[State]]</f>
        <v>2024-Netherlands</v>
      </c>
      <c r="B48" s="3">
        <v>2024</v>
      </c>
      <c r="C48" s="5">
        <f>DATE(gdp[[#This Row],[Year]]-1,4,1)</f>
        <v>45017</v>
      </c>
      <c r="D48" s="3">
        <f>gdp[[#This Row],[Year]]-5</f>
        <v>2019</v>
      </c>
      <c r="E48" s="3">
        <f>gdp[[#This Row],[Year]]-3</f>
        <v>2021</v>
      </c>
      <c r="F48" s="15" t="str">
        <f>IFERROR(INDEX(StateNames[State],MATCH("GDP"&amp;gdp[[#This Row],[Year]]&amp;gdp[[#This Row],[Country]],StateNames[SNUID],0)), gdp[[#This Row],[Country]])</f>
        <v>Netherlands</v>
      </c>
      <c r="G48" t="s">
        <v>26</v>
      </c>
      <c r="H48" t="s">
        <v>6</v>
      </c>
      <c r="I48" t="s">
        <v>92</v>
      </c>
      <c r="J48" t="s">
        <v>7</v>
      </c>
      <c r="K48" t="s">
        <v>93</v>
      </c>
      <c r="L48">
        <v>910.29499999999996</v>
      </c>
      <c r="M48">
        <v>909.06500000000005</v>
      </c>
      <c r="N48">
        <v>1013.52</v>
      </c>
      <c r="O48">
        <v>2022</v>
      </c>
      <c r="P48">
        <f>IFERROR(MATCH(gdp[[#This Row],[UID]],data[UID],0),0)</f>
        <v>47</v>
      </c>
    </row>
    <row r="49" spans="1:16" x14ac:dyDescent="0.25">
      <c r="A49" t="str">
        <f>gdp[[#This Row],[Year]]&amp;"-"&amp;gdp[[#This Row],[State]]</f>
        <v>2024-Norway</v>
      </c>
      <c r="B49" s="3">
        <v>2024</v>
      </c>
      <c r="C49" s="5">
        <f>DATE(gdp[[#This Row],[Year]]-1,4,1)</f>
        <v>45017</v>
      </c>
      <c r="D49" s="3">
        <f>gdp[[#This Row],[Year]]-5</f>
        <v>2019</v>
      </c>
      <c r="E49" s="3">
        <f>gdp[[#This Row],[Year]]-3</f>
        <v>2021</v>
      </c>
      <c r="F49" s="15" t="str">
        <f>IFERROR(INDEX(StateNames[State],MATCH("GDP"&amp;gdp[[#This Row],[Year]]&amp;gdp[[#This Row],[Country]],StateNames[SNUID],0)), gdp[[#This Row],[Country]])</f>
        <v>Norway</v>
      </c>
      <c r="G49" t="s">
        <v>27</v>
      </c>
      <c r="H49" t="s">
        <v>6</v>
      </c>
      <c r="I49" t="s">
        <v>92</v>
      </c>
      <c r="J49" t="s">
        <v>7</v>
      </c>
      <c r="K49" t="s">
        <v>93</v>
      </c>
      <c r="L49">
        <v>408.74299999999999</v>
      </c>
      <c r="M49">
        <v>367.63299999999998</v>
      </c>
      <c r="N49">
        <v>490.29300000000001</v>
      </c>
      <c r="O49">
        <v>2022</v>
      </c>
      <c r="P49">
        <f>IFERROR(MATCH(gdp[[#This Row],[UID]],data[UID],0),0)</f>
        <v>48</v>
      </c>
    </row>
    <row r="50" spans="1:16" x14ac:dyDescent="0.25">
      <c r="A50" t="str">
        <f>gdp[[#This Row],[Year]]&amp;"-"&amp;gdp[[#This Row],[State]]</f>
        <v>2024-Portugal</v>
      </c>
      <c r="B50" s="3">
        <v>2024</v>
      </c>
      <c r="C50" s="5">
        <f>DATE(gdp[[#This Row],[Year]]-1,4,1)</f>
        <v>45017</v>
      </c>
      <c r="D50" s="3">
        <f>gdp[[#This Row],[Year]]-5</f>
        <v>2019</v>
      </c>
      <c r="E50" s="3">
        <f>gdp[[#This Row],[Year]]-3</f>
        <v>2021</v>
      </c>
      <c r="F50" s="15" t="str">
        <f>IFERROR(INDEX(StateNames[State],MATCH("GDP"&amp;gdp[[#This Row],[Year]]&amp;gdp[[#This Row],[Country]],StateNames[SNUID],0)), gdp[[#This Row],[Country]])</f>
        <v>Portugal</v>
      </c>
      <c r="G50" t="s">
        <v>28</v>
      </c>
      <c r="H50" t="s">
        <v>6</v>
      </c>
      <c r="I50" t="s">
        <v>92</v>
      </c>
      <c r="J50" t="s">
        <v>7</v>
      </c>
      <c r="K50" t="s">
        <v>93</v>
      </c>
      <c r="L50">
        <v>240.01300000000001</v>
      </c>
      <c r="M50">
        <v>228.84899999999999</v>
      </c>
      <c r="N50">
        <v>254.15199999999999</v>
      </c>
      <c r="O50">
        <v>2022</v>
      </c>
      <c r="P50">
        <f>IFERROR(MATCH(gdp[[#This Row],[UID]],data[UID],0),0)</f>
        <v>49</v>
      </c>
    </row>
    <row r="51" spans="1:16" x14ac:dyDescent="0.25">
      <c r="A51" t="str">
        <f>gdp[[#This Row],[Year]]&amp;"-"&amp;gdp[[#This Row],[State]]</f>
        <v>2024-Romania</v>
      </c>
      <c r="B51" s="3">
        <v>2024</v>
      </c>
      <c r="C51" s="5">
        <f>DATE(gdp[[#This Row],[Year]]-1,4,1)</f>
        <v>45017</v>
      </c>
      <c r="D51" s="3">
        <f>gdp[[#This Row],[Year]]-5</f>
        <v>2019</v>
      </c>
      <c r="E51" s="3">
        <f>gdp[[#This Row],[Year]]-3</f>
        <v>2021</v>
      </c>
      <c r="F51" s="15" t="str">
        <f>IFERROR(INDEX(StateNames[State],MATCH("GDP"&amp;gdp[[#This Row],[Year]]&amp;gdp[[#This Row],[Country]],StateNames[SNUID],0)), gdp[[#This Row],[Country]])</f>
        <v>Romania</v>
      </c>
      <c r="G51" t="s">
        <v>29</v>
      </c>
      <c r="H51" t="s">
        <v>6</v>
      </c>
      <c r="I51" t="s">
        <v>92</v>
      </c>
      <c r="J51" t="s">
        <v>7</v>
      </c>
      <c r="K51" t="s">
        <v>93</v>
      </c>
      <c r="L51">
        <v>250.99299999999999</v>
      </c>
      <c r="M51">
        <v>251.69900000000001</v>
      </c>
      <c r="N51">
        <v>285.60899999999998</v>
      </c>
      <c r="O51">
        <v>2022</v>
      </c>
      <c r="P51">
        <f>IFERROR(MATCH(gdp[[#This Row],[UID]],data[UID],0),0)</f>
        <v>50</v>
      </c>
    </row>
    <row r="52" spans="1:16" x14ac:dyDescent="0.25">
      <c r="A52" t="str">
        <f>gdp[[#This Row],[Year]]&amp;"-"&amp;gdp[[#This Row],[State]]</f>
        <v>2024-Slovakia</v>
      </c>
      <c r="B52" s="3">
        <v>2024</v>
      </c>
      <c r="C52" s="5">
        <f>DATE(gdp[[#This Row],[Year]]-1,4,1)</f>
        <v>45017</v>
      </c>
      <c r="D52" s="3">
        <f>gdp[[#This Row],[Year]]-5</f>
        <v>2019</v>
      </c>
      <c r="E52" s="3">
        <f>gdp[[#This Row],[Year]]-3</f>
        <v>2021</v>
      </c>
      <c r="F52" s="15" t="str">
        <f>IFERROR(INDEX(StateNames[State],MATCH("GDP"&amp;gdp[[#This Row],[Year]]&amp;gdp[[#This Row],[Country]],StateNames[SNUID],0)), gdp[[#This Row],[Country]])</f>
        <v>Slovakia</v>
      </c>
      <c r="G52" t="s">
        <v>30</v>
      </c>
      <c r="H52" t="s">
        <v>6</v>
      </c>
      <c r="I52" t="s">
        <v>92</v>
      </c>
      <c r="J52" t="s">
        <v>7</v>
      </c>
      <c r="K52" t="s">
        <v>93</v>
      </c>
      <c r="L52">
        <v>105.732</v>
      </c>
      <c r="M52">
        <v>106.611</v>
      </c>
      <c r="N52">
        <v>116.605</v>
      </c>
      <c r="O52">
        <v>2022</v>
      </c>
      <c r="P52">
        <f>IFERROR(MATCH(gdp[[#This Row],[UID]],data[UID],0),0)</f>
        <v>51</v>
      </c>
    </row>
    <row r="53" spans="1:16" x14ac:dyDescent="0.25">
      <c r="A53" t="str">
        <f>gdp[[#This Row],[Year]]&amp;"-"&amp;gdp[[#This Row],[State]]</f>
        <v>2024-Slovenia</v>
      </c>
      <c r="B53" s="3">
        <v>2024</v>
      </c>
      <c r="C53" s="5">
        <f>DATE(gdp[[#This Row],[Year]]-1,4,1)</f>
        <v>45017</v>
      </c>
      <c r="D53" s="3">
        <f>gdp[[#This Row],[Year]]-5</f>
        <v>2019</v>
      </c>
      <c r="E53" s="3">
        <f>gdp[[#This Row],[Year]]-3</f>
        <v>2021</v>
      </c>
      <c r="F53" s="15" t="str">
        <f>IFERROR(INDEX(StateNames[State],MATCH("GDP"&amp;gdp[[#This Row],[Year]]&amp;gdp[[#This Row],[Country]],StateNames[SNUID],0)), gdp[[#This Row],[Country]])</f>
        <v>Slovenia</v>
      </c>
      <c r="G53" t="s">
        <v>31</v>
      </c>
      <c r="H53" t="s">
        <v>6</v>
      </c>
      <c r="I53" t="s">
        <v>92</v>
      </c>
      <c r="J53" t="s">
        <v>7</v>
      </c>
      <c r="K53" t="s">
        <v>93</v>
      </c>
      <c r="L53">
        <v>54.338000000000001</v>
      </c>
      <c r="M53">
        <v>53.664000000000001</v>
      </c>
      <c r="N53">
        <v>61.79</v>
      </c>
      <c r="O53">
        <v>2022</v>
      </c>
      <c r="P53">
        <f>IFERROR(MATCH(gdp[[#This Row],[UID]],data[UID],0),0)</f>
        <v>52</v>
      </c>
    </row>
    <row r="54" spans="1:16" x14ac:dyDescent="0.25">
      <c r="A54" t="str">
        <f>gdp[[#This Row],[Year]]&amp;"-"&amp;gdp[[#This Row],[State]]</f>
        <v>2024-Spain</v>
      </c>
      <c r="B54" s="3">
        <v>2024</v>
      </c>
      <c r="C54" s="5">
        <f>DATE(gdp[[#This Row],[Year]]-1,4,1)</f>
        <v>45017</v>
      </c>
      <c r="D54" s="3">
        <f>gdp[[#This Row],[Year]]-5</f>
        <v>2019</v>
      </c>
      <c r="E54" s="3">
        <f>gdp[[#This Row],[Year]]-3</f>
        <v>2021</v>
      </c>
      <c r="F54" s="15" t="str">
        <f>IFERROR(INDEX(StateNames[State],MATCH("GDP"&amp;gdp[[#This Row],[Year]]&amp;gdp[[#This Row],[Country]],StateNames[SNUID],0)), gdp[[#This Row],[Country]])</f>
        <v>Spain</v>
      </c>
      <c r="G54" t="s">
        <v>32</v>
      </c>
      <c r="H54" t="s">
        <v>6</v>
      </c>
      <c r="I54" t="s">
        <v>92</v>
      </c>
      <c r="J54" t="s">
        <v>7</v>
      </c>
      <c r="K54" t="s">
        <v>93</v>
      </c>
      <c r="L54">
        <v>1394.4739999999999</v>
      </c>
      <c r="M54">
        <v>1275.941</v>
      </c>
      <c r="N54">
        <v>1428.33</v>
      </c>
      <c r="O54">
        <v>2022</v>
      </c>
      <c r="P54">
        <f>IFERROR(MATCH(gdp[[#This Row],[UID]],data[UID],0),0)</f>
        <v>53</v>
      </c>
    </row>
    <row r="55" spans="1:16" x14ac:dyDescent="0.25">
      <c r="A55" t="str">
        <f>gdp[[#This Row],[Year]]&amp;"-"&amp;gdp[[#This Row],[State]]</f>
        <v>2024-Sweden</v>
      </c>
      <c r="B55" s="3">
        <v>2024</v>
      </c>
      <c r="C55" s="5">
        <f>DATE(gdp[[#This Row],[Year]]-1,4,1)</f>
        <v>45017</v>
      </c>
      <c r="D55" s="3">
        <f>gdp[[#This Row],[Year]]-5</f>
        <v>2019</v>
      </c>
      <c r="E55" s="3">
        <f>gdp[[#This Row],[Year]]-3</f>
        <v>2021</v>
      </c>
      <c r="F55" s="15" t="str">
        <f>IFERROR(INDEX(StateNames[State],MATCH("GDP"&amp;gdp[[#This Row],[Year]]&amp;gdp[[#This Row],[Country]],StateNames[SNUID],0)), gdp[[#This Row],[Country]])</f>
        <v>Sweden</v>
      </c>
      <c r="G55" t="s">
        <v>33</v>
      </c>
      <c r="H55" t="s">
        <v>6</v>
      </c>
      <c r="I55" t="s">
        <v>92</v>
      </c>
      <c r="J55" t="s">
        <v>7</v>
      </c>
      <c r="K55" t="s">
        <v>93</v>
      </c>
      <c r="L55">
        <v>533.88</v>
      </c>
      <c r="M55">
        <v>547.05399999999997</v>
      </c>
      <c r="N55">
        <v>636.85599999999999</v>
      </c>
      <c r="O55">
        <v>2022</v>
      </c>
      <c r="P55">
        <f>IFERROR(MATCH(gdp[[#This Row],[UID]],data[UID],0),0)</f>
        <v>54</v>
      </c>
    </row>
    <row r="56" spans="1:16" x14ac:dyDescent="0.25">
      <c r="A56" t="str">
        <f>gdp[[#This Row],[Year]]&amp;"-"&amp;gdp[[#This Row],[State]]</f>
        <v>2024-Switzerland</v>
      </c>
      <c r="B56" s="3">
        <v>2024</v>
      </c>
      <c r="C56" s="5">
        <f>DATE(gdp[[#This Row],[Year]]-1,4,1)</f>
        <v>45017</v>
      </c>
      <c r="D56" s="3">
        <f>gdp[[#This Row],[Year]]-5</f>
        <v>2019</v>
      </c>
      <c r="E56" s="3">
        <f>gdp[[#This Row],[Year]]-3</f>
        <v>2021</v>
      </c>
      <c r="F56" s="15" t="str">
        <f>IFERROR(INDEX(StateNames[State],MATCH("GDP"&amp;gdp[[#This Row],[Year]]&amp;gdp[[#This Row],[Country]],StateNames[SNUID],0)), gdp[[#This Row],[Country]])</f>
        <v>Switzerland</v>
      </c>
      <c r="G56" t="s">
        <v>34</v>
      </c>
      <c r="H56" t="s">
        <v>6</v>
      </c>
      <c r="I56" t="s">
        <v>92</v>
      </c>
      <c r="J56" t="s">
        <v>7</v>
      </c>
      <c r="K56" t="s">
        <v>93</v>
      </c>
      <c r="L56">
        <v>721.82399999999996</v>
      </c>
      <c r="M56">
        <v>739.02099999999996</v>
      </c>
      <c r="N56">
        <v>799.71199999999999</v>
      </c>
      <c r="O56">
        <v>2022</v>
      </c>
      <c r="P56">
        <f>IFERROR(MATCH(gdp[[#This Row],[UID]],data[UID],0),0)</f>
        <v>55</v>
      </c>
    </row>
    <row r="57" spans="1:16" x14ac:dyDescent="0.25">
      <c r="A57" t="str">
        <f>gdp[[#This Row],[Year]]&amp;"-"&amp;gdp[[#This Row],[State]]</f>
        <v>2024-United Kingdom</v>
      </c>
      <c r="B57" s="3">
        <v>2024</v>
      </c>
      <c r="C57" s="5">
        <f>DATE(gdp[[#This Row],[Year]]-1,4,1)</f>
        <v>45017</v>
      </c>
      <c r="D57" s="3">
        <f>gdp[[#This Row],[Year]]-5</f>
        <v>2019</v>
      </c>
      <c r="E57" s="3">
        <f>gdp[[#This Row],[Year]]-3</f>
        <v>2021</v>
      </c>
      <c r="F57" s="15" t="str">
        <f>IFERROR(INDEX(StateNames[State],MATCH("GDP"&amp;gdp[[#This Row],[Year]]&amp;gdp[[#This Row],[Country]],StateNames[SNUID],0)), gdp[[#This Row],[Country]])</f>
        <v>United Kingdom</v>
      </c>
      <c r="G57" t="s">
        <v>35</v>
      </c>
      <c r="H57" t="s">
        <v>6</v>
      </c>
      <c r="I57" t="s">
        <v>92</v>
      </c>
      <c r="J57" t="s">
        <v>7</v>
      </c>
      <c r="K57" t="s">
        <v>93</v>
      </c>
      <c r="L57">
        <v>2858.7280000000001</v>
      </c>
      <c r="M57">
        <v>2706.5419999999999</v>
      </c>
      <c r="N57">
        <v>3123.2310000000002</v>
      </c>
      <c r="O57">
        <v>2022</v>
      </c>
      <c r="P57">
        <f>IFERROR(MATCH(gdp[[#This Row],[UID]],data[UID],0),0)</f>
        <v>56</v>
      </c>
    </row>
    <row r="58" spans="1:16" x14ac:dyDescent="0.25">
      <c r="A58" t="str">
        <f>gdp[[#This Row],[Year]]&amp;"-"&amp;gdp[[#This Row],[State]]</f>
        <v>2025-Austria</v>
      </c>
      <c r="B58" s="3">
        <v>2025</v>
      </c>
      <c r="C58" s="5">
        <f>DATE(gdp[[#This Row],[Year]]-1,4,1)</f>
        <v>45383</v>
      </c>
      <c r="D58" s="3">
        <f>gdp[[#This Row],[Year]]-5</f>
        <v>2020</v>
      </c>
      <c r="E58" s="3">
        <f>gdp[[#This Row],[Year]]-3</f>
        <v>2022</v>
      </c>
      <c r="F58" s="15" t="str">
        <f>IFERROR(INDEX(StateNames[State],MATCH("GDP"&amp;gdp[[#This Row],[Year]]&amp;gdp[[#This Row],[Country]],StateNames[SNUID],0)), gdp[[#This Row],[Country]])</f>
        <v>Austria</v>
      </c>
      <c r="G58" t="s">
        <v>8</v>
      </c>
      <c r="H58" t="s">
        <v>6</v>
      </c>
      <c r="I58" t="s">
        <v>92</v>
      </c>
      <c r="J58" t="s">
        <v>7</v>
      </c>
      <c r="K58" t="s">
        <v>93</v>
      </c>
      <c r="L58">
        <v>434.70100000000002</v>
      </c>
      <c r="M58">
        <v>479.61399999999998</v>
      </c>
      <c r="N58">
        <v>471.21600000000001</v>
      </c>
      <c r="O58">
        <v>2023</v>
      </c>
      <c r="P58">
        <f>IFERROR(MATCH(gdp[[#This Row],[UID]],data[UID],0),0)</f>
        <v>57</v>
      </c>
    </row>
    <row r="59" spans="1:16" x14ac:dyDescent="0.25">
      <c r="A59" t="str">
        <f>gdp[[#This Row],[Year]]&amp;"-"&amp;gdp[[#This Row],[State]]</f>
        <v>2025-Belgium</v>
      </c>
      <c r="B59" s="3">
        <v>2025</v>
      </c>
      <c r="C59" s="5">
        <f>DATE(gdp[[#This Row],[Year]]-1,4,1)</f>
        <v>45383</v>
      </c>
      <c r="D59" s="3">
        <f>gdp[[#This Row],[Year]]-5</f>
        <v>2020</v>
      </c>
      <c r="E59" s="3">
        <f>gdp[[#This Row],[Year]]-3</f>
        <v>2022</v>
      </c>
      <c r="F59" s="15" t="str">
        <f>IFERROR(INDEX(StateNames[State],MATCH("GDP"&amp;gdp[[#This Row],[Year]]&amp;gdp[[#This Row],[Country]],StateNames[SNUID],0)), gdp[[#This Row],[Country]])</f>
        <v>Belgium</v>
      </c>
      <c r="G59" t="s">
        <v>9</v>
      </c>
      <c r="H59" t="s">
        <v>6</v>
      </c>
      <c r="I59" t="s">
        <v>92</v>
      </c>
      <c r="J59" t="s">
        <v>7</v>
      </c>
      <c r="K59" t="s">
        <v>93</v>
      </c>
      <c r="L59">
        <v>525.84299999999996</v>
      </c>
      <c r="M59">
        <v>601.149</v>
      </c>
      <c r="N59">
        <v>583.89499999999998</v>
      </c>
      <c r="O59">
        <v>2023</v>
      </c>
      <c r="P59">
        <f>IFERROR(MATCH(gdp[[#This Row],[UID]],data[UID],0),0)</f>
        <v>58</v>
      </c>
    </row>
    <row r="60" spans="1:16" x14ac:dyDescent="0.25">
      <c r="A60" t="str">
        <f>gdp[[#This Row],[Year]]&amp;"-"&amp;gdp[[#This Row],[State]]</f>
        <v>2025-Bulgaria</v>
      </c>
      <c r="B60" s="3">
        <v>2025</v>
      </c>
      <c r="C60" s="5">
        <f>DATE(gdp[[#This Row],[Year]]-1,4,1)</f>
        <v>45383</v>
      </c>
      <c r="D60" s="3">
        <f>gdp[[#This Row],[Year]]-5</f>
        <v>2020</v>
      </c>
      <c r="E60" s="3">
        <f>gdp[[#This Row],[Year]]-3</f>
        <v>2022</v>
      </c>
      <c r="F60" s="15" t="str">
        <f>IFERROR(INDEX(StateNames[State],MATCH("GDP"&amp;gdp[[#This Row],[Year]]&amp;gdp[[#This Row],[Country]],StateNames[SNUID],0)), gdp[[#This Row],[Country]])</f>
        <v>Bulgaria</v>
      </c>
      <c r="G60" t="s">
        <v>10</v>
      </c>
      <c r="H60" t="s">
        <v>6</v>
      </c>
      <c r="I60" t="s">
        <v>92</v>
      </c>
      <c r="J60" t="s">
        <v>7</v>
      </c>
      <c r="K60" t="s">
        <v>93</v>
      </c>
      <c r="L60">
        <v>70.311000000000007</v>
      </c>
      <c r="M60">
        <v>84.1</v>
      </c>
      <c r="N60">
        <v>90.421999999999997</v>
      </c>
      <c r="O60">
        <v>2023</v>
      </c>
      <c r="P60">
        <f>IFERROR(MATCH(gdp[[#This Row],[UID]],data[UID],0),0)</f>
        <v>59</v>
      </c>
    </row>
    <row r="61" spans="1:16" x14ac:dyDescent="0.25">
      <c r="A61" t="str">
        <f>gdp[[#This Row],[Year]]&amp;"-"&amp;gdp[[#This Row],[State]]</f>
        <v>2025-Croatia</v>
      </c>
      <c r="B61" s="3">
        <v>2025</v>
      </c>
      <c r="C61" s="5">
        <f>DATE(gdp[[#This Row],[Year]]-1,4,1)</f>
        <v>45383</v>
      </c>
      <c r="D61" s="3">
        <f>gdp[[#This Row],[Year]]-5</f>
        <v>2020</v>
      </c>
      <c r="E61" s="3">
        <f>gdp[[#This Row],[Year]]-3</f>
        <v>2022</v>
      </c>
      <c r="F61" s="15" t="str">
        <f>IFERROR(INDEX(StateNames[State],MATCH("GDP"&amp;gdp[[#This Row],[Year]]&amp;gdp[[#This Row],[Country]],StateNames[SNUID],0)), gdp[[#This Row],[Country]])</f>
        <v>Croatia</v>
      </c>
      <c r="G61" t="s">
        <v>11</v>
      </c>
      <c r="H61" t="s">
        <v>6</v>
      </c>
      <c r="I61" t="s">
        <v>92</v>
      </c>
      <c r="J61" t="s">
        <v>7</v>
      </c>
      <c r="K61" t="s">
        <v>93</v>
      </c>
      <c r="L61">
        <v>57.718000000000004</v>
      </c>
      <c r="M61">
        <v>69.129000000000005</v>
      </c>
      <c r="N61">
        <v>71.656999999999996</v>
      </c>
      <c r="O61">
        <v>2022</v>
      </c>
      <c r="P61">
        <f>IFERROR(MATCH(gdp[[#This Row],[UID]],data[UID],0),0)</f>
        <v>60</v>
      </c>
    </row>
    <row r="62" spans="1:16" x14ac:dyDescent="0.25">
      <c r="A62" t="str">
        <f>gdp[[#This Row],[Year]]&amp;"-"&amp;gdp[[#This Row],[State]]</f>
        <v>2025-Cyprus</v>
      </c>
      <c r="B62" s="3">
        <v>2025</v>
      </c>
      <c r="C62" s="5">
        <f>DATE(gdp[[#This Row],[Year]]-1,4,1)</f>
        <v>45383</v>
      </c>
      <c r="D62" s="3">
        <f>gdp[[#This Row],[Year]]-5</f>
        <v>2020</v>
      </c>
      <c r="E62" s="3">
        <f>gdp[[#This Row],[Year]]-3</f>
        <v>2022</v>
      </c>
      <c r="F62" s="15" t="str">
        <f>IFERROR(INDEX(StateNames[State],MATCH("GDP"&amp;gdp[[#This Row],[Year]]&amp;gdp[[#This Row],[Country]],StateNames[SNUID],0)), gdp[[#This Row],[Country]])</f>
        <v>Cyprus</v>
      </c>
      <c r="G62" t="s">
        <v>12</v>
      </c>
      <c r="H62" t="s">
        <v>6</v>
      </c>
      <c r="I62" t="s">
        <v>92</v>
      </c>
      <c r="J62" t="s">
        <v>7</v>
      </c>
      <c r="K62" t="s">
        <v>93</v>
      </c>
      <c r="L62">
        <v>25.207000000000001</v>
      </c>
      <c r="M62">
        <v>29.501999999999999</v>
      </c>
      <c r="N62">
        <v>29.274000000000001</v>
      </c>
      <c r="O62">
        <v>2023</v>
      </c>
      <c r="P62">
        <f>IFERROR(MATCH(gdp[[#This Row],[UID]],data[UID],0),0)</f>
        <v>61</v>
      </c>
    </row>
    <row r="63" spans="1:16" x14ac:dyDescent="0.25">
      <c r="A63" t="str">
        <f>gdp[[#This Row],[Year]]&amp;"-"&amp;gdp[[#This Row],[State]]</f>
        <v>2025-Czech Republic</v>
      </c>
      <c r="B63" s="3">
        <v>2025</v>
      </c>
      <c r="C63" s="5">
        <f>DATE(gdp[[#This Row],[Year]]-1,4,1)</f>
        <v>45383</v>
      </c>
      <c r="D63" s="3">
        <f>gdp[[#This Row],[Year]]-5</f>
        <v>2020</v>
      </c>
      <c r="E63" s="3">
        <f>gdp[[#This Row],[Year]]-3</f>
        <v>2022</v>
      </c>
      <c r="F63" s="15" t="str">
        <f>IFERROR(INDEX(StateNames[State],MATCH("GDP"&amp;gdp[[#This Row],[Year]]&amp;gdp[[#This Row],[Country]],StateNames[SNUID],0)), gdp[[#This Row],[Country]])</f>
        <v>Czech Republic</v>
      </c>
      <c r="G63" t="s">
        <v>13</v>
      </c>
      <c r="H63" t="s">
        <v>6</v>
      </c>
      <c r="I63" t="s">
        <v>92</v>
      </c>
      <c r="J63" t="s">
        <v>7</v>
      </c>
      <c r="K63" t="s">
        <v>93</v>
      </c>
      <c r="L63">
        <v>245.97499999999999</v>
      </c>
      <c r="M63">
        <v>281.791</v>
      </c>
      <c r="N63">
        <v>290.56599999999997</v>
      </c>
      <c r="O63">
        <v>2023</v>
      </c>
      <c r="P63">
        <f>IFERROR(MATCH(gdp[[#This Row],[UID]],data[UID],0),0)</f>
        <v>62</v>
      </c>
    </row>
    <row r="64" spans="1:16" x14ac:dyDescent="0.25">
      <c r="A64" t="str">
        <f>gdp[[#This Row],[Year]]&amp;"-"&amp;gdp[[#This Row],[State]]</f>
        <v>2025-Denmark</v>
      </c>
      <c r="B64" s="3">
        <v>2025</v>
      </c>
      <c r="C64" s="5">
        <f>DATE(gdp[[#This Row],[Year]]-1,4,1)</f>
        <v>45383</v>
      </c>
      <c r="D64" s="3">
        <f>gdp[[#This Row],[Year]]-5</f>
        <v>2020</v>
      </c>
      <c r="E64" s="3">
        <f>gdp[[#This Row],[Year]]-3</f>
        <v>2022</v>
      </c>
      <c r="F64" s="15" t="str">
        <f>IFERROR(INDEX(StateNames[State],MATCH("GDP"&amp;gdp[[#This Row],[Year]]&amp;gdp[[#This Row],[Country]],StateNames[SNUID],0)), gdp[[#This Row],[Country]])</f>
        <v>Denmark</v>
      </c>
      <c r="G64" t="s">
        <v>14</v>
      </c>
      <c r="H64" t="s">
        <v>6</v>
      </c>
      <c r="I64" t="s">
        <v>92</v>
      </c>
      <c r="J64" t="s">
        <v>7</v>
      </c>
      <c r="K64" t="s">
        <v>93</v>
      </c>
      <c r="L64">
        <v>354.76299999999998</v>
      </c>
      <c r="M64">
        <v>405.68799999999999</v>
      </c>
      <c r="N64">
        <v>400.16699999999997</v>
      </c>
      <c r="O64">
        <v>2022</v>
      </c>
      <c r="P64">
        <f>IFERROR(MATCH(gdp[[#This Row],[UID]],data[UID],0),0)</f>
        <v>63</v>
      </c>
    </row>
    <row r="65" spans="1:16" x14ac:dyDescent="0.25">
      <c r="A65" t="str">
        <f>gdp[[#This Row],[Year]]&amp;"-"&amp;gdp[[#This Row],[State]]</f>
        <v>2025-Estonia</v>
      </c>
      <c r="B65" s="3">
        <v>2025</v>
      </c>
      <c r="C65" s="5">
        <f>DATE(gdp[[#This Row],[Year]]-1,4,1)</f>
        <v>45383</v>
      </c>
      <c r="D65" s="3">
        <f>gdp[[#This Row],[Year]]-5</f>
        <v>2020</v>
      </c>
      <c r="E65" s="3">
        <f>gdp[[#This Row],[Year]]-3</f>
        <v>2022</v>
      </c>
      <c r="F65" s="15" t="str">
        <f>IFERROR(INDEX(StateNames[State],MATCH("GDP"&amp;gdp[[#This Row],[Year]]&amp;gdp[[#This Row],[Country]],StateNames[SNUID],0)), gdp[[#This Row],[Country]])</f>
        <v>Estonia</v>
      </c>
      <c r="G65" t="s">
        <v>15</v>
      </c>
      <c r="H65" t="s">
        <v>6</v>
      </c>
      <c r="I65" t="s">
        <v>92</v>
      </c>
      <c r="J65" t="s">
        <v>7</v>
      </c>
      <c r="K65" t="s">
        <v>93</v>
      </c>
      <c r="L65">
        <v>31.305</v>
      </c>
      <c r="M65">
        <v>36.889000000000003</v>
      </c>
      <c r="N65">
        <v>37.951000000000001</v>
      </c>
      <c r="O65">
        <v>2023</v>
      </c>
      <c r="P65">
        <f>IFERROR(MATCH(gdp[[#This Row],[UID]],data[UID],0),0)</f>
        <v>64</v>
      </c>
    </row>
    <row r="66" spans="1:16" x14ac:dyDescent="0.25">
      <c r="A66" t="str">
        <f>gdp[[#This Row],[Year]]&amp;"-"&amp;gdp[[#This Row],[State]]</f>
        <v>2025-Finland</v>
      </c>
      <c r="B66" s="3">
        <v>2025</v>
      </c>
      <c r="C66" s="5">
        <f>DATE(gdp[[#This Row],[Year]]-1,4,1)</f>
        <v>45383</v>
      </c>
      <c r="D66" s="3">
        <f>gdp[[#This Row],[Year]]-5</f>
        <v>2020</v>
      </c>
      <c r="E66" s="3">
        <f>gdp[[#This Row],[Year]]-3</f>
        <v>2022</v>
      </c>
      <c r="F66" s="15" t="str">
        <f>IFERROR(INDEX(StateNames[State],MATCH("GDP"&amp;gdp[[#This Row],[Year]]&amp;gdp[[#This Row],[Country]],StateNames[SNUID],0)), gdp[[#This Row],[Country]])</f>
        <v>Finland</v>
      </c>
      <c r="G66" t="s">
        <v>16</v>
      </c>
      <c r="H66" t="s">
        <v>6</v>
      </c>
      <c r="I66" t="s">
        <v>92</v>
      </c>
      <c r="J66" t="s">
        <v>7</v>
      </c>
      <c r="K66" t="s">
        <v>93</v>
      </c>
      <c r="L66">
        <v>271.66800000000001</v>
      </c>
      <c r="M66">
        <v>296.66800000000001</v>
      </c>
      <c r="N66">
        <v>282.10899999999998</v>
      </c>
      <c r="O66">
        <v>2023</v>
      </c>
      <c r="P66">
        <f>IFERROR(MATCH(gdp[[#This Row],[UID]],data[UID],0),0)</f>
        <v>65</v>
      </c>
    </row>
    <row r="67" spans="1:16" x14ac:dyDescent="0.25">
      <c r="A67" t="str">
        <f>gdp[[#This Row],[Year]]&amp;"-"&amp;gdp[[#This Row],[State]]</f>
        <v>2025-France</v>
      </c>
      <c r="B67" s="3">
        <v>2025</v>
      </c>
      <c r="C67" s="5">
        <f>DATE(gdp[[#This Row],[Year]]-1,4,1)</f>
        <v>45383</v>
      </c>
      <c r="D67" s="3">
        <f>gdp[[#This Row],[Year]]-5</f>
        <v>2020</v>
      </c>
      <c r="E67" s="3">
        <f>gdp[[#This Row],[Year]]-3</f>
        <v>2022</v>
      </c>
      <c r="F67" s="15" t="str">
        <f>IFERROR(INDEX(StateNames[State],MATCH("GDP"&amp;gdp[[#This Row],[Year]]&amp;gdp[[#This Row],[Country]],StateNames[SNUID],0)), gdp[[#This Row],[Country]])</f>
        <v>France</v>
      </c>
      <c r="G67" t="s">
        <v>17</v>
      </c>
      <c r="H67" t="s">
        <v>6</v>
      </c>
      <c r="I67" t="s">
        <v>92</v>
      </c>
      <c r="J67" t="s">
        <v>7</v>
      </c>
      <c r="K67" t="s">
        <v>93</v>
      </c>
      <c r="L67" s="49">
        <v>2645.3</v>
      </c>
      <c r="M67" s="49">
        <v>2958.2959999999998</v>
      </c>
      <c r="N67" s="49">
        <v>2780.433</v>
      </c>
      <c r="O67">
        <v>2023</v>
      </c>
      <c r="P67">
        <f>IFERROR(MATCH(gdp[[#This Row],[UID]],data[UID],0),0)</f>
        <v>66</v>
      </c>
    </row>
    <row r="68" spans="1:16" x14ac:dyDescent="0.25">
      <c r="A68" t="str">
        <f>gdp[[#This Row],[Year]]&amp;"-"&amp;gdp[[#This Row],[State]]</f>
        <v>2025-Germany</v>
      </c>
      <c r="B68" s="3">
        <v>2025</v>
      </c>
      <c r="C68" s="5">
        <f>DATE(gdp[[#This Row],[Year]]-1,4,1)</f>
        <v>45383</v>
      </c>
      <c r="D68" s="3">
        <f>gdp[[#This Row],[Year]]-5</f>
        <v>2020</v>
      </c>
      <c r="E68" s="3">
        <f>gdp[[#This Row],[Year]]-3</f>
        <v>2022</v>
      </c>
      <c r="F68" s="15" t="str">
        <f>IFERROR(INDEX(StateNames[State],MATCH("GDP"&amp;gdp[[#This Row],[Year]]&amp;gdp[[#This Row],[Country]],StateNames[SNUID],0)), gdp[[#This Row],[Country]])</f>
        <v>Germany</v>
      </c>
      <c r="G68" t="s">
        <v>18</v>
      </c>
      <c r="H68" t="s">
        <v>6</v>
      </c>
      <c r="I68" t="s">
        <v>92</v>
      </c>
      <c r="J68" t="s">
        <v>7</v>
      </c>
      <c r="K68" t="s">
        <v>93</v>
      </c>
      <c r="L68" s="49">
        <v>3884.6149999999998</v>
      </c>
      <c r="M68" s="49">
        <v>4281.348</v>
      </c>
      <c r="N68" s="49">
        <v>4085.681</v>
      </c>
      <c r="O68">
        <v>2023</v>
      </c>
      <c r="P68">
        <f>IFERROR(MATCH(gdp[[#This Row],[UID]],data[UID],0),0)</f>
        <v>67</v>
      </c>
    </row>
    <row r="69" spans="1:16" x14ac:dyDescent="0.25">
      <c r="A69" t="str">
        <f>gdp[[#This Row],[Year]]&amp;"-"&amp;gdp[[#This Row],[State]]</f>
        <v>2025-Greece</v>
      </c>
      <c r="B69" s="3">
        <v>2025</v>
      </c>
      <c r="C69" s="5">
        <f>DATE(gdp[[#This Row],[Year]]-1,4,1)</f>
        <v>45383</v>
      </c>
      <c r="D69" s="3">
        <f>gdp[[#This Row],[Year]]-5</f>
        <v>2020</v>
      </c>
      <c r="E69" s="3">
        <f>gdp[[#This Row],[Year]]-3</f>
        <v>2022</v>
      </c>
      <c r="F69" s="15" t="str">
        <f>IFERROR(INDEX(StateNames[State],MATCH("GDP"&amp;gdp[[#This Row],[Year]]&amp;gdp[[#This Row],[Country]],StateNames[SNUID],0)), gdp[[#This Row],[Country]])</f>
        <v>Greece</v>
      </c>
      <c r="G69" t="s">
        <v>19</v>
      </c>
      <c r="H69" t="s">
        <v>6</v>
      </c>
      <c r="I69" t="s">
        <v>92</v>
      </c>
      <c r="J69" t="s">
        <v>7</v>
      </c>
      <c r="K69" t="s">
        <v>93</v>
      </c>
      <c r="L69">
        <v>188.32900000000001</v>
      </c>
      <c r="M69">
        <v>214.81100000000001</v>
      </c>
      <c r="N69">
        <v>217.75299999999999</v>
      </c>
      <c r="O69">
        <v>2023</v>
      </c>
      <c r="P69">
        <f>IFERROR(MATCH(gdp[[#This Row],[UID]],data[UID],0),0)</f>
        <v>68</v>
      </c>
    </row>
    <row r="70" spans="1:16" x14ac:dyDescent="0.25">
      <c r="A70" t="str">
        <f>gdp[[#This Row],[Year]]&amp;"-"&amp;gdp[[#This Row],[State]]</f>
        <v>2025-Iceland</v>
      </c>
      <c r="B70" s="3">
        <v>2025</v>
      </c>
      <c r="C70" s="5">
        <f>DATE(gdp[[#This Row],[Year]]-1,4,1)</f>
        <v>45383</v>
      </c>
      <c r="D70" s="3">
        <f>gdp[[#This Row],[Year]]-5</f>
        <v>2020</v>
      </c>
      <c r="E70" s="3">
        <f>gdp[[#This Row],[Year]]-3</f>
        <v>2022</v>
      </c>
      <c r="F70" s="15" t="str">
        <f>IFERROR(INDEX(StateNames[State],MATCH("GDP"&amp;gdp[[#This Row],[Year]]&amp;gdp[[#This Row],[Country]],StateNames[SNUID],0)), gdp[[#This Row],[Country]])</f>
        <v>Iceland</v>
      </c>
      <c r="G70" t="s">
        <v>20</v>
      </c>
      <c r="H70" t="s">
        <v>6</v>
      </c>
      <c r="I70" t="s">
        <v>92</v>
      </c>
      <c r="J70" t="s">
        <v>7</v>
      </c>
      <c r="K70" t="s">
        <v>93</v>
      </c>
      <c r="L70">
        <v>21.63</v>
      </c>
      <c r="M70">
        <v>25.797999999999998</v>
      </c>
      <c r="N70">
        <v>28.702000000000002</v>
      </c>
      <c r="O70">
        <v>2022</v>
      </c>
      <c r="P70">
        <f>IFERROR(MATCH(gdp[[#This Row],[UID]],data[UID],0),0)</f>
        <v>69</v>
      </c>
    </row>
    <row r="71" spans="1:16" x14ac:dyDescent="0.25">
      <c r="A71" t="str">
        <f>gdp[[#This Row],[Year]]&amp;"-"&amp;gdp[[#This Row],[State]]</f>
        <v>2025-Ireland</v>
      </c>
      <c r="B71" s="3">
        <v>2025</v>
      </c>
      <c r="C71" s="5">
        <f>DATE(gdp[[#This Row],[Year]]-1,4,1)</f>
        <v>45383</v>
      </c>
      <c r="D71" s="3">
        <f>gdp[[#This Row],[Year]]-5</f>
        <v>2020</v>
      </c>
      <c r="E71" s="3">
        <f>gdp[[#This Row],[Year]]-3</f>
        <v>2022</v>
      </c>
      <c r="F71" s="15" t="str">
        <f>IFERROR(INDEX(StateNames[State],MATCH("GDP"&amp;gdp[[#This Row],[Year]]&amp;gdp[[#This Row],[Country]],StateNames[SNUID],0)), gdp[[#This Row],[Country]])</f>
        <v>Ireland</v>
      </c>
      <c r="G71" t="s">
        <v>21</v>
      </c>
      <c r="H71" t="s">
        <v>6</v>
      </c>
      <c r="I71" t="s">
        <v>92</v>
      </c>
      <c r="J71" t="s">
        <v>7</v>
      </c>
      <c r="K71" t="s">
        <v>93</v>
      </c>
      <c r="L71">
        <v>428.26600000000002</v>
      </c>
      <c r="M71">
        <v>513.73299999999995</v>
      </c>
      <c r="N71">
        <v>533.55899999999997</v>
      </c>
      <c r="O71">
        <v>2023</v>
      </c>
      <c r="P71">
        <f>IFERROR(MATCH(gdp[[#This Row],[UID]],data[UID],0),0)</f>
        <v>70</v>
      </c>
    </row>
    <row r="72" spans="1:16" x14ac:dyDescent="0.25">
      <c r="A72" t="str">
        <f>gdp[[#This Row],[Year]]&amp;"-"&amp;gdp[[#This Row],[State]]</f>
        <v>2025-Italy</v>
      </c>
      <c r="B72" s="3">
        <v>2025</v>
      </c>
      <c r="C72" s="5">
        <f>DATE(gdp[[#This Row],[Year]]-1,4,1)</f>
        <v>45383</v>
      </c>
      <c r="D72" s="3">
        <f>gdp[[#This Row],[Year]]-5</f>
        <v>2020</v>
      </c>
      <c r="E72" s="3">
        <f>gdp[[#This Row],[Year]]-3</f>
        <v>2022</v>
      </c>
      <c r="F72" s="15" t="str">
        <f>IFERROR(INDEX(StateNames[State],MATCH("GDP"&amp;gdp[[#This Row],[Year]]&amp;gdp[[#This Row],[Country]],StateNames[SNUID],0)), gdp[[#This Row],[Country]])</f>
        <v>Italy</v>
      </c>
      <c r="G72" t="s">
        <v>22</v>
      </c>
      <c r="H72" t="s">
        <v>6</v>
      </c>
      <c r="I72" t="s">
        <v>92</v>
      </c>
      <c r="J72" t="s">
        <v>7</v>
      </c>
      <c r="K72" t="s">
        <v>93</v>
      </c>
      <c r="L72" s="49">
        <v>1895.943</v>
      </c>
      <c r="M72" s="49">
        <v>2156.31</v>
      </c>
      <c r="N72" s="49">
        <v>2068.598</v>
      </c>
      <c r="O72">
        <v>2023</v>
      </c>
      <c r="P72">
        <f>IFERROR(MATCH(gdp[[#This Row],[UID]],data[UID],0),0)</f>
        <v>71</v>
      </c>
    </row>
    <row r="73" spans="1:16" x14ac:dyDescent="0.25">
      <c r="A73" t="str">
        <f>gdp[[#This Row],[Year]]&amp;"-"&amp;gdp[[#This Row],[State]]</f>
        <v>2025-Lithuania</v>
      </c>
      <c r="B73" s="3">
        <v>2025</v>
      </c>
      <c r="C73" s="5">
        <f>DATE(gdp[[#This Row],[Year]]-1,4,1)</f>
        <v>45383</v>
      </c>
      <c r="D73" s="3">
        <f>gdp[[#This Row],[Year]]-5</f>
        <v>2020</v>
      </c>
      <c r="E73" s="3">
        <f>gdp[[#This Row],[Year]]-3</f>
        <v>2022</v>
      </c>
      <c r="F73" s="15" t="str">
        <f>IFERROR(INDEX(StateNames[State],MATCH("GDP"&amp;gdp[[#This Row],[Year]]&amp;gdp[[#This Row],[Country]],StateNames[SNUID],0)), gdp[[#This Row],[Country]])</f>
        <v>Lithuania</v>
      </c>
      <c r="G73" t="s">
        <v>23</v>
      </c>
      <c r="H73" t="s">
        <v>6</v>
      </c>
      <c r="I73" t="s">
        <v>92</v>
      </c>
      <c r="J73" t="s">
        <v>7</v>
      </c>
      <c r="K73" t="s">
        <v>93</v>
      </c>
      <c r="L73">
        <v>56.918999999999997</v>
      </c>
      <c r="M73">
        <v>66.843000000000004</v>
      </c>
      <c r="N73">
        <v>71.03</v>
      </c>
      <c r="O73">
        <v>2023</v>
      </c>
      <c r="P73">
        <f>IFERROR(MATCH(gdp[[#This Row],[UID]],data[UID],0),0)</f>
        <v>72</v>
      </c>
    </row>
    <row r="74" spans="1:16" x14ac:dyDescent="0.25">
      <c r="A74" t="str">
        <f>gdp[[#This Row],[Year]]&amp;"-"&amp;gdp[[#This Row],[State]]</f>
        <v>2025-Luxembourg</v>
      </c>
      <c r="B74" s="3">
        <v>2025</v>
      </c>
      <c r="C74" s="5">
        <f>DATE(gdp[[#This Row],[Year]]-1,4,1)</f>
        <v>45383</v>
      </c>
      <c r="D74" s="3">
        <f>gdp[[#This Row],[Year]]-5</f>
        <v>2020</v>
      </c>
      <c r="E74" s="3">
        <f>gdp[[#This Row],[Year]]-3</f>
        <v>2022</v>
      </c>
      <c r="F74" s="15" t="str">
        <f>IFERROR(INDEX(StateNames[State],MATCH("GDP"&amp;gdp[[#This Row],[Year]]&amp;gdp[[#This Row],[Country]],StateNames[SNUID],0)), gdp[[#This Row],[Country]])</f>
        <v>Luxembourg</v>
      </c>
      <c r="G74" t="s">
        <v>24</v>
      </c>
      <c r="H74" t="s">
        <v>6</v>
      </c>
      <c r="I74" t="s">
        <v>92</v>
      </c>
      <c r="J74" t="s">
        <v>7</v>
      </c>
      <c r="K74" t="s">
        <v>93</v>
      </c>
      <c r="L74">
        <v>73.64</v>
      </c>
      <c r="M74">
        <v>85.641000000000005</v>
      </c>
      <c r="N74">
        <v>81.706000000000003</v>
      </c>
      <c r="O74">
        <v>2022</v>
      </c>
      <c r="P74">
        <f>IFERROR(MATCH(gdp[[#This Row],[UID]],data[UID],0),0)</f>
        <v>73</v>
      </c>
    </row>
    <row r="75" spans="1:16" x14ac:dyDescent="0.25">
      <c r="A75" t="str">
        <f>gdp[[#This Row],[Year]]&amp;"-"&amp;gdp[[#This Row],[State]]</f>
        <v>2025-Malta</v>
      </c>
      <c r="B75" s="3">
        <v>2025</v>
      </c>
      <c r="C75" s="5">
        <f>DATE(gdp[[#This Row],[Year]]-1,4,1)</f>
        <v>45383</v>
      </c>
      <c r="D75" s="3">
        <f>gdp[[#This Row],[Year]]-5</f>
        <v>2020</v>
      </c>
      <c r="E75" s="3">
        <f>gdp[[#This Row],[Year]]-3</f>
        <v>2022</v>
      </c>
      <c r="F75" s="15" t="str">
        <f>IFERROR(INDEX(StateNames[State],MATCH("GDP"&amp;gdp[[#This Row],[Year]]&amp;gdp[[#This Row],[Country]],StateNames[SNUID],0)), gdp[[#This Row],[Country]])</f>
        <v>Malta</v>
      </c>
      <c r="G75" t="s">
        <v>25</v>
      </c>
      <c r="H75" t="s">
        <v>6</v>
      </c>
      <c r="I75" t="s">
        <v>92</v>
      </c>
      <c r="J75" t="s">
        <v>7</v>
      </c>
      <c r="K75" t="s">
        <v>93</v>
      </c>
      <c r="L75">
        <v>15.238</v>
      </c>
      <c r="M75">
        <v>18.135999999999999</v>
      </c>
      <c r="N75">
        <v>18.372</v>
      </c>
      <c r="O75">
        <v>2023</v>
      </c>
      <c r="P75">
        <f>IFERROR(MATCH(gdp[[#This Row],[UID]],data[UID],0),0)</f>
        <v>74</v>
      </c>
    </row>
    <row r="76" spans="1:16" x14ac:dyDescent="0.25">
      <c r="A76" t="str">
        <f>gdp[[#This Row],[Year]]&amp;"-"&amp;gdp[[#This Row],[State]]</f>
        <v>2025-Netherlands</v>
      </c>
      <c r="B76" s="3">
        <v>2025</v>
      </c>
      <c r="C76" s="5">
        <f>DATE(gdp[[#This Row],[Year]]-1,4,1)</f>
        <v>45383</v>
      </c>
      <c r="D76" s="3">
        <f>gdp[[#This Row],[Year]]-5</f>
        <v>2020</v>
      </c>
      <c r="E76" s="3">
        <f>gdp[[#This Row],[Year]]-3</f>
        <v>2022</v>
      </c>
      <c r="F76" s="15" t="str">
        <f>IFERROR(INDEX(StateNames[State],MATCH("GDP"&amp;gdp[[#This Row],[Year]]&amp;gdp[[#This Row],[Country]],StateNames[SNUID],0)), gdp[[#This Row],[Country]])</f>
        <v>Netherlands</v>
      </c>
      <c r="G76" t="s">
        <v>26</v>
      </c>
      <c r="H76" t="s">
        <v>6</v>
      </c>
      <c r="I76" t="s">
        <v>92</v>
      </c>
      <c r="J76" t="s">
        <v>7</v>
      </c>
      <c r="K76" t="s">
        <v>93</v>
      </c>
      <c r="L76">
        <v>909.06500000000005</v>
      </c>
      <c r="M76" s="49">
        <v>1030.3630000000001</v>
      </c>
      <c r="N76" s="49">
        <v>1010.193</v>
      </c>
      <c r="O76">
        <v>2023</v>
      </c>
      <c r="P76">
        <f>IFERROR(MATCH(gdp[[#This Row],[UID]],data[UID],0),0)</f>
        <v>75</v>
      </c>
    </row>
    <row r="77" spans="1:16" x14ac:dyDescent="0.25">
      <c r="A77" t="str">
        <f>gdp[[#This Row],[Year]]&amp;"-"&amp;gdp[[#This Row],[State]]</f>
        <v>2025-Norway</v>
      </c>
      <c r="B77" s="3">
        <v>2025</v>
      </c>
      <c r="C77" s="5">
        <f>DATE(gdp[[#This Row],[Year]]-1,4,1)</f>
        <v>45383</v>
      </c>
      <c r="D77" s="3">
        <f>gdp[[#This Row],[Year]]-5</f>
        <v>2020</v>
      </c>
      <c r="E77" s="3">
        <f>gdp[[#This Row],[Year]]-3</f>
        <v>2022</v>
      </c>
      <c r="F77" s="15" t="str">
        <f>IFERROR(INDEX(StateNames[State],MATCH("GDP"&amp;gdp[[#This Row],[Year]]&amp;gdp[[#This Row],[Country]],StateNames[SNUID],0)), gdp[[#This Row],[Country]])</f>
        <v>Norway</v>
      </c>
      <c r="G77" t="s">
        <v>27</v>
      </c>
      <c r="H77" t="s">
        <v>6</v>
      </c>
      <c r="I77" t="s">
        <v>92</v>
      </c>
      <c r="J77" t="s">
        <v>7</v>
      </c>
      <c r="K77" t="s">
        <v>93</v>
      </c>
      <c r="L77">
        <v>367.63299999999998</v>
      </c>
      <c r="M77">
        <v>503.36799999999999</v>
      </c>
      <c r="N77">
        <v>593.72699999999998</v>
      </c>
      <c r="O77">
        <v>2023</v>
      </c>
      <c r="P77">
        <f>IFERROR(MATCH(gdp[[#This Row],[UID]],data[UID],0),0)</f>
        <v>76</v>
      </c>
    </row>
    <row r="78" spans="1:16" x14ac:dyDescent="0.25">
      <c r="A78" t="str">
        <f>gdp[[#This Row],[Year]]&amp;"-"&amp;gdp[[#This Row],[State]]</f>
        <v>2025-Portugal</v>
      </c>
      <c r="B78" s="3">
        <v>2025</v>
      </c>
      <c r="C78" s="5">
        <f>DATE(gdp[[#This Row],[Year]]-1,4,1)</f>
        <v>45383</v>
      </c>
      <c r="D78" s="3">
        <f>gdp[[#This Row],[Year]]-5</f>
        <v>2020</v>
      </c>
      <c r="E78" s="3">
        <f>gdp[[#This Row],[Year]]-3</f>
        <v>2022</v>
      </c>
      <c r="F78" s="15" t="str">
        <f>IFERROR(INDEX(StateNames[State],MATCH("GDP"&amp;gdp[[#This Row],[Year]]&amp;gdp[[#This Row],[Country]],StateNames[SNUID],0)), gdp[[#This Row],[Country]])</f>
        <v>Portugal</v>
      </c>
      <c r="G78" t="s">
        <v>28</v>
      </c>
      <c r="H78" t="s">
        <v>6</v>
      </c>
      <c r="I78" t="s">
        <v>92</v>
      </c>
      <c r="J78" t="s">
        <v>7</v>
      </c>
      <c r="K78" t="s">
        <v>93</v>
      </c>
      <c r="L78">
        <v>228.84899999999999</v>
      </c>
      <c r="M78">
        <v>255.70500000000001</v>
      </c>
      <c r="N78">
        <v>255.398</v>
      </c>
      <c r="O78">
        <v>2023</v>
      </c>
      <c r="P78">
        <f>IFERROR(MATCH(gdp[[#This Row],[UID]],data[UID],0),0)</f>
        <v>77</v>
      </c>
    </row>
    <row r="79" spans="1:16" x14ac:dyDescent="0.25">
      <c r="A79" t="str">
        <f>gdp[[#This Row],[Year]]&amp;"-"&amp;gdp[[#This Row],[State]]</f>
        <v>2025-Romania</v>
      </c>
      <c r="B79" s="3">
        <v>2025</v>
      </c>
      <c r="C79" s="5">
        <f>DATE(gdp[[#This Row],[Year]]-1,4,1)</f>
        <v>45383</v>
      </c>
      <c r="D79" s="3">
        <f>gdp[[#This Row],[Year]]-5</f>
        <v>2020</v>
      </c>
      <c r="E79" s="3">
        <f>gdp[[#This Row],[Year]]-3</f>
        <v>2022</v>
      </c>
      <c r="F79" s="15" t="str">
        <f>IFERROR(INDEX(StateNames[State],MATCH("GDP"&amp;gdp[[#This Row],[Year]]&amp;gdp[[#This Row],[Country]],StateNames[SNUID],0)), gdp[[#This Row],[Country]])</f>
        <v>Romania</v>
      </c>
      <c r="G79" t="s">
        <v>29</v>
      </c>
      <c r="H79" t="s">
        <v>6</v>
      </c>
      <c r="I79" t="s">
        <v>92</v>
      </c>
      <c r="J79" t="s">
        <v>7</v>
      </c>
      <c r="K79" t="s">
        <v>93</v>
      </c>
      <c r="L79">
        <v>251.69900000000001</v>
      </c>
      <c r="M79">
        <v>286.01499999999999</v>
      </c>
      <c r="N79">
        <v>301.27300000000002</v>
      </c>
      <c r="O79">
        <v>2022</v>
      </c>
      <c r="P79">
        <f>IFERROR(MATCH(gdp[[#This Row],[UID]],data[UID],0),0)</f>
        <v>78</v>
      </c>
    </row>
    <row r="80" spans="1:16" x14ac:dyDescent="0.25">
      <c r="A80" t="str">
        <f>gdp[[#This Row],[Year]]&amp;"-"&amp;gdp[[#This Row],[State]]</f>
        <v>2025-Slovakia</v>
      </c>
      <c r="B80" s="3">
        <v>2025</v>
      </c>
      <c r="C80" s="5">
        <f>DATE(gdp[[#This Row],[Year]]-1,4,1)</f>
        <v>45383</v>
      </c>
      <c r="D80" s="3">
        <f>gdp[[#This Row],[Year]]-5</f>
        <v>2020</v>
      </c>
      <c r="E80" s="3">
        <f>gdp[[#This Row],[Year]]-3</f>
        <v>2022</v>
      </c>
      <c r="F80" s="15" t="str">
        <f>IFERROR(INDEX(StateNames[State],MATCH("GDP"&amp;gdp[[#This Row],[Year]]&amp;gdp[[#This Row],[Country]],StateNames[SNUID],0)), gdp[[#This Row],[Country]])</f>
        <v>Slovakia</v>
      </c>
      <c r="G80" t="s">
        <v>30</v>
      </c>
      <c r="H80" t="s">
        <v>6</v>
      </c>
      <c r="I80" t="s">
        <v>92</v>
      </c>
      <c r="J80" t="s">
        <v>7</v>
      </c>
      <c r="K80" t="s">
        <v>93</v>
      </c>
      <c r="L80">
        <v>106.646</v>
      </c>
      <c r="M80">
        <v>118.655</v>
      </c>
      <c r="N80">
        <v>115.553</v>
      </c>
      <c r="O80">
        <v>2023</v>
      </c>
      <c r="P80">
        <f>IFERROR(MATCH(gdp[[#This Row],[UID]],data[UID],0),0)</f>
        <v>79</v>
      </c>
    </row>
    <row r="81" spans="1:16" x14ac:dyDescent="0.25">
      <c r="A81" t="str">
        <f>gdp[[#This Row],[Year]]&amp;"-"&amp;gdp[[#This Row],[State]]</f>
        <v>2025-Slovenia</v>
      </c>
      <c r="B81" s="3">
        <v>2025</v>
      </c>
      <c r="C81" s="5">
        <f>DATE(gdp[[#This Row],[Year]]-1,4,1)</f>
        <v>45383</v>
      </c>
      <c r="D81" s="3">
        <f>gdp[[#This Row],[Year]]-5</f>
        <v>2020</v>
      </c>
      <c r="E81" s="3">
        <f>gdp[[#This Row],[Year]]-3</f>
        <v>2022</v>
      </c>
      <c r="F81" s="15" t="str">
        <f>IFERROR(INDEX(StateNames[State],MATCH("GDP"&amp;gdp[[#This Row],[Year]]&amp;gdp[[#This Row],[Country]],StateNames[SNUID],0)), gdp[[#This Row],[Country]])</f>
        <v>Slovenia</v>
      </c>
      <c r="G81" t="s">
        <v>31</v>
      </c>
      <c r="H81" t="s">
        <v>6</v>
      </c>
      <c r="I81" t="s">
        <v>92</v>
      </c>
      <c r="J81" t="s">
        <v>7</v>
      </c>
      <c r="K81" t="s">
        <v>93</v>
      </c>
      <c r="L81">
        <v>53.691000000000003</v>
      </c>
      <c r="M81">
        <v>61.872999999999998</v>
      </c>
      <c r="N81">
        <v>60.110999999999997</v>
      </c>
      <c r="O81">
        <v>2023</v>
      </c>
      <c r="P81">
        <f>IFERROR(MATCH(gdp[[#This Row],[UID]],data[UID],0),0)</f>
        <v>80</v>
      </c>
    </row>
    <row r="82" spans="1:16" x14ac:dyDescent="0.25">
      <c r="A82" t="str">
        <f>gdp[[#This Row],[Year]]&amp;"-"&amp;gdp[[#This Row],[State]]</f>
        <v>2025-Spain</v>
      </c>
      <c r="B82" s="3">
        <v>2025</v>
      </c>
      <c r="C82" s="5">
        <f>DATE(gdp[[#This Row],[Year]]-1,4,1)</f>
        <v>45383</v>
      </c>
      <c r="D82" s="3">
        <f>gdp[[#This Row],[Year]]-5</f>
        <v>2020</v>
      </c>
      <c r="E82" s="3">
        <f>gdp[[#This Row],[Year]]-3</f>
        <v>2022</v>
      </c>
      <c r="F82" s="15" t="str">
        <f>IFERROR(INDEX(StateNames[State],MATCH("GDP"&amp;gdp[[#This Row],[Year]]&amp;gdp[[#This Row],[Country]],StateNames[SNUID],0)), gdp[[#This Row],[Country]])</f>
        <v>Spain</v>
      </c>
      <c r="G82" t="s">
        <v>32</v>
      </c>
      <c r="H82" t="s">
        <v>6</v>
      </c>
      <c r="I82" t="s">
        <v>92</v>
      </c>
      <c r="J82" t="s">
        <v>7</v>
      </c>
      <c r="K82" t="s">
        <v>93</v>
      </c>
      <c r="L82" s="49">
        <v>1277.106</v>
      </c>
      <c r="M82" s="49">
        <v>1446.6130000000001</v>
      </c>
      <c r="N82" s="49">
        <v>1418.9159999999999</v>
      </c>
      <c r="O82">
        <v>2023</v>
      </c>
      <c r="P82">
        <f>IFERROR(MATCH(gdp[[#This Row],[UID]],data[UID],0),0)</f>
        <v>81</v>
      </c>
    </row>
    <row r="83" spans="1:16" x14ac:dyDescent="0.25">
      <c r="A83" t="str">
        <f>gdp[[#This Row],[Year]]&amp;"-"&amp;gdp[[#This Row],[State]]</f>
        <v>2025-Sweden</v>
      </c>
      <c r="B83" s="3">
        <v>2025</v>
      </c>
      <c r="C83" s="5">
        <f>DATE(gdp[[#This Row],[Year]]-1,4,1)</f>
        <v>45383</v>
      </c>
      <c r="D83" s="3">
        <f>gdp[[#This Row],[Year]]-5</f>
        <v>2020</v>
      </c>
      <c r="E83" s="3">
        <f>gdp[[#This Row],[Year]]-3</f>
        <v>2022</v>
      </c>
      <c r="F83" s="15" t="str">
        <f>IFERROR(INDEX(StateNames[State],MATCH("GDP"&amp;gdp[[#This Row],[Year]]&amp;gdp[[#This Row],[Country]],StateNames[SNUID],0)), gdp[[#This Row],[Country]])</f>
        <v>Sweden</v>
      </c>
      <c r="G83" t="s">
        <v>33</v>
      </c>
      <c r="H83" t="s">
        <v>6</v>
      </c>
      <c r="I83" t="s">
        <v>92</v>
      </c>
      <c r="J83" t="s">
        <v>7</v>
      </c>
      <c r="K83" t="s">
        <v>93</v>
      </c>
      <c r="L83">
        <v>547.05399999999997</v>
      </c>
      <c r="M83">
        <v>639.71500000000003</v>
      </c>
      <c r="N83">
        <v>590.41</v>
      </c>
      <c r="O83">
        <v>2023</v>
      </c>
      <c r="P83">
        <f>IFERROR(MATCH(gdp[[#This Row],[UID]],data[UID],0),0)</f>
        <v>82</v>
      </c>
    </row>
    <row r="84" spans="1:16" x14ac:dyDescent="0.25">
      <c r="A84" t="str">
        <f>gdp[[#This Row],[Year]]&amp;"-"&amp;gdp[[#This Row],[State]]</f>
        <v>2025-Switzerland</v>
      </c>
      <c r="B84" s="3">
        <v>2025</v>
      </c>
      <c r="C84" s="5">
        <f>DATE(gdp[[#This Row],[Year]]-1,4,1)</f>
        <v>45383</v>
      </c>
      <c r="D84" s="3">
        <f>gdp[[#This Row],[Year]]-5</f>
        <v>2020</v>
      </c>
      <c r="E84" s="3">
        <f>gdp[[#This Row],[Year]]-3</f>
        <v>2022</v>
      </c>
      <c r="F84" s="15" t="str">
        <f>IFERROR(INDEX(StateNames[State],MATCH("GDP"&amp;gdp[[#This Row],[Year]]&amp;gdp[[#This Row],[Country]],StateNames[SNUID],0)), gdp[[#This Row],[Country]])</f>
        <v>Switzerland</v>
      </c>
      <c r="G84" t="s">
        <v>34</v>
      </c>
      <c r="H84" t="s">
        <v>6</v>
      </c>
      <c r="I84" t="s">
        <v>92</v>
      </c>
      <c r="J84" t="s">
        <v>7</v>
      </c>
      <c r="K84" t="s">
        <v>93</v>
      </c>
      <c r="L84">
        <v>741.02800000000002</v>
      </c>
      <c r="M84">
        <v>812.44100000000003</v>
      </c>
      <c r="N84">
        <v>818.64300000000003</v>
      </c>
      <c r="O84">
        <v>2023</v>
      </c>
      <c r="P84">
        <f>IFERROR(MATCH(gdp[[#This Row],[UID]],data[UID],0),0)</f>
        <v>83</v>
      </c>
    </row>
    <row r="85" spans="1:16" x14ac:dyDescent="0.25">
      <c r="A85" t="str">
        <f>gdp[[#This Row],[Year]]&amp;"-"&amp;gdp[[#This Row],[State]]</f>
        <v>2025-United Kingdom</v>
      </c>
      <c r="B85" s="3">
        <v>2025</v>
      </c>
      <c r="C85" s="5">
        <f>DATE(gdp[[#This Row],[Year]]-1,4,1)</f>
        <v>45383</v>
      </c>
      <c r="D85" s="3">
        <f>gdp[[#This Row],[Year]]-5</f>
        <v>2020</v>
      </c>
      <c r="E85" s="3">
        <f>gdp[[#This Row],[Year]]-3</f>
        <v>2022</v>
      </c>
      <c r="F85" s="15" t="str">
        <f>IFERROR(INDEX(StateNames[State],MATCH("GDP"&amp;gdp[[#This Row],[Year]]&amp;gdp[[#This Row],[Country]],StateNames[SNUID],0)), gdp[[#This Row],[Country]])</f>
        <v>United Kingdom</v>
      </c>
      <c r="G85" t="s">
        <v>35</v>
      </c>
      <c r="H85" t="s">
        <v>6</v>
      </c>
      <c r="I85" t="s">
        <v>92</v>
      </c>
      <c r="J85" t="s">
        <v>7</v>
      </c>
      <c r="K85" t="s">
        <v>93</v>
      </c>
      <c r="L85" s="49">
        <v>2699.7339999999999</v>
      </c>
      <c r="M85" s="49">
        <v>3142.2620000000002</v>
      </c>
      <c r="N85" s="49">
        <v>3100.1089999999999</v>
      </c>
      <c r="O85">
        <v>2022</v>
      </c>
      <c r="P85">
        <f>IFERROR(MATCH(gdp[[#This Row],[UID]],data[UID],0),0)</f>
        <v>84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5"/>
  <sheetViews>
    <sheetView topLeftCell="A52" workbookViewId="0">
      <selection activeCell="E88" sqref="E88"/>
    </sheetView>
  </sheetViews>
  <sheetFormatPr defaultRowHeight="15" x14ac:dyDescent="0.25"/>
  <cols>
    <col min="3" max="3" width="30.7109375" customWidth="1"/>
    <col min="4" max="4" width="10.85546875" bestFit="1" customWidth="1"/>
    <col min="5" max="5" width="58.7109375" bestFit="1" customWidth="1"/>
    <col min="6" max="6" width="19.28515625" style="11" bestFit="1" customWidth="1"/>
    <col min="7" max="7" width="23.7109375" style="11" bestFit="1" customWidth="1"/>
    <col min="8" max="8" width="30.140625" style="11" bestFit="1" customWidth="1"/>
    <col min="9" max="9" width="15.85546875" bestFit="1" customWidth="1"/>
    <col min="10" max="10" width="14" customWidth="1"/>
  </cols>
  <sheetData>
    <row r="1" spans="1:10" x14ac:dyDescent="0.25">
      <c r="A1" s="1" t="s">
        <v>69</v>
      </c>
      <c r="B1" s="1" t="s">
        <v>36</v>
      </c>
      <c r="C1" s="1" t="s">
        <v>66</v>
      </c>
      <c r="D1" t="s">
        <v>95</v>
      </c>
      <c r="E1" t="s">
        <v>94</v>
      </c>
      <c r="F1" s="11" t="s">
        <v>96</v>
      </c>
      <c r="G1" s="11" t="s">
        <v>97</v>
      </c>
      <c r="H1" s="11" t="s">
        <v>105</v>
      </c>
      <c r="I1" t="s">
        <v>106</v>
      </c>
      <c r="J1" s="1" t="s">
        <v>136</v>
      </c>
    </row>
    <row r="2" spans="1:10" x14ac:dyDescent="0.25">
      <c r="A2" t="str">
        <f>CoTwo[[#This Row],[Year]] &amp;"-"&amp;CoTwo[[#This Row],[State]]</f>
        <v>2023-Austria</v>
      </c>
      <c r="B2">
        <f>CoTwo[[#This Row],[CO2_Year]]+2</f>
        <v>2023</v>
      </c>
      <c r="C2" t="str">
        <f>PROPER(IFERROR(INDEX(StateNames[State],MATCH("CO2"&amp;CoTwo[[#This Row],[Year]]&amp;CoTwo[[#This Row],[STATE_UPPER]],StateNames[SNUID],0)),CoTwo[[#This Row],[STATE_UPPER]]))</f>
        <v>Austria</v>
      </c>
      <c r="D2">
        <v>2021</v>
      </c>
      <c r="E2" t="s">
        <v>40</v>
      </c>
      <c r="F2" s="11">
        <v>576013.91399999999</v>
      </c>
      <c r="G2" s="11">
        <v>1214722.9548500001</v>
      </c>
      <c r="H2" s="20" t="s">
        <v>137</v>
      </c>
      <c r="I2" s="20">
        <v>45309.095833333333</v>
      </c>
      <c r="J2">
        <f>IFERROR(MATCH(CoTwo[[#This Row],[UID]],data[UID],0),0)</f>
        <v>1</v>
      </c>
    </row>
    <row r="3" spans="1:10" x14ac:dyDescent="0.25">
      <c r="A3" t="str">
        <f>CoTwo[[#This Row],[Year]] &amp;"-"&amp;CoTwo[[#This Row],[State]]</f>
        <v>2023-Belgium</v>
      </c>
      <c r="B3">
        <f>CoTwo[[#This Row],[CO2_Year]]+2</f>
        <v>2023</v>
      </c>
      <c r="C3" t="str">
        <f>PROPER(IFERROR(INDEX(StateNames[State],MATCH("CO2"&amp;CoTwo[[#This Row],[Year]]&amp;CoTwo[[#This Row],[STATE_UPPER]],StateNames[SNUID],0)),CoTwo[[#This Row],[STATE_UPPER]]))</f>
        <v>Belgium</v>
      </c>
      <c r="D3">
        <v>2021</v>
      </c>
      <c r="E3" t="s">
        <v>41</v>
      </c>
      <c r="F3" s="11">
        <v>885657.35160000005</v>
      </c>
      <c r="G3" s="11">
        <v>4255742.5307999998</v>
      </c>
      <c r="H3" s="20" t="s">
        <v>137</v>
      </c>
      <c r="I3" s="20">
        <v>45309.095833333333</v>
      </c>
      <c r="J3">
        <f>IFERROR(MATCH(CoTwo[[#This Row],[UID]],data[UID],0),0)</f>
        <v>2</v>
      </c>
    </row>
    <row r="4" spans="1:10" x14ac:dyDescent="0.25">
      <c r="A4" t="str">
        <f>CoTwo[[#This Row],[Year]] &amp;"-"&amp;CoTwo[[#This Row],[State]]</f>
        <v>2023-Bulgaria</v>
      </c>
      <c r="B4">
        <f>CoTwo[[#This Row],[CO2_Year]]+2</f>
        <v>2023</v>
      </c>
      <c r="C4" t="str">
        <f>PROPER(IFERROR(INDEX(StateNames[State],MATCH("CO2"&amp;CoTwo[[#This Row],[Year]]&amp;CoTwo[[#This Row],[STATE_UPPER]],StateNames[SNUID],0)),CoTwo[[#This Row],[STATE_UPPER]]))</f>
        <v>Bulgaria</v>
      </c>
      <c r="D4">
        <v>2021</v>
      </c>
      <c r="E4" t="s">
        <v>42</v>
      </c>
      <c r="F4" s="11">
        <v>324063.40995</v>
      </c>
      <c r="G4" s="11">
        <v>494241.91159999999</v>
      </c>
      <c r="H4" s="20" t="s">
        <v>137</v>
      </c>
      <c r="I4" s="20">
        <v>45309.095833333333</v>
      </c>
      <c r="J4">
        <f>IFERROR(MATCH(CoTwo[[#This Row],[UID]],data[UID],0),0)</f>
        <v>3</v>
      </c>
    </row>
    <row r="5" spans="1:10" x14ac:dyDescent="0.25">
      <c r="A5" t="str">
        <f>CoTwo[[#This Row],[Year]] &amp;"-"&amp;CoTwo[[#This Row],[State]]</f>
        <v>2023-Croatia</v>
      </c>
      <c r="B5">
        <f>CoTwo[[#This Row],[CO2_Year]]+2</f>
        <v>2023</v>
      </c>
      <c r="C5" t="str">
        <f>PROPER(IFERROR(INDEX(StateNames[State],MATCH("CO2"&amp;CoTwo[[#This Row],[Year]]&amp;CoTwo[[#This Row],[STATE_UPPER]],StateNames[SNUID],0)),CoTwo[[#This Row],[STATE_UPPER]]))</f>
        <v>Croatia</v>
      </c>
      <c r="D5">
        <v>2021</v>
      </c>
      <c r="E5" t="s">
        <v>43</v>
      </c>
      <c r="F5" s="11">
        <v>258034.40460000001</v>
      </c>
      <c r="G5" s="11">
        <v>312470.0624</v>
      </c>
      <c r="H5" s="20" t="s">
        <v>137</v>
      </c>
      <c r="I5" s="20">
        <v>45309.095833333333</v>
      </c>
      <c r="J5">
        <f>IFERROR(MATCH(CoTwo[[#This Row],[UID]],data[UID],0),0)</f>
        <v>4</v>
      </c>
    </row>
    <row r="6" spans="1:10" x14ac:dyDescent="0.25">
      <c r="A6" t="str">
        <f>CoTwo[[#This Row],[Year]] &amp;"-"&amp;CoTwo[[#This Row],[State]]</f>
        <v>2023-Cyprus</v>
      </c>
      <c r="B6">
        <f>CoTwo[[#This Row],[CO2_Year]]+2</f>
        <v>2023</v>
      </c>
      <c r="C6" t="str">
        <f>PROPER(IFERROR(INDEX(StateNames[State],MATCH("CO2"&amp;CoTwo[[#This Row],[Year]]&amp;CoTwo[[#This Row],[STATE_UPPER]],StateNames[SNUID],0)),CoTwo[[#This Row],[STATE_UPPER]]))</f>
        <v>Cyprus</v>
      </c>
      <c r="D6">
        <v>2021</v>
      </c>
      <c r="E6" t="s">
        <v>44</v>
      </c>
      <c r="F6" s="11">
        <v>328479.16814999998</v>
      </c>
      <c r="G6" s="11">
        <v>548848.17075000005</v>
      </c>
      <c r="H6" s="20" t="s">
        <v>137</v>
      </c>
      <c r="I6" s="20">
        <v>45309.095833333333</v>
      </c>
      <c r="J6">
        <f>IFERROR(MATCH(CoTwo[[#This Row],[UID]],data[UID],0),0)</f>
        <v>5</v>
      </c>
    </row>
    <row r="7" spans="1:10" x14ac:dyDescent="0.25">
      <c r="A7" t="str">
        <f>CoTwo[[#This Row],[Year]] &amp;"-"&amp;CoTwo[[#This Row],[State]]</f>
        <v>2023-Czech Republic</v>
      </c>
      <c r="B7">
        <f>CoTwo[[#This Row],[CO2_Year]]+2</f>
        <v>2023</v>
      </c>
      <c r="C7" t="str">
        <f>PROPER(IFERROR(INDEX(StateNames[State],MATCH("CO2"&amp;CoTwo[[#This Row],[Year]]&amp;CoTwo[[#This Row],[STATE_UPPER]],StateNames[SNUID],0)),CoTwo[[#This Row],[STATE_UPPER]]))</f>
        <v>Czech Republic</v>
      </c>
      <c r="D7">
        <v>2021</v>
      </c>
      <c r="E7" t="s">
        <v>138</v>
      </c>
      <c r="F7" s="11">
        <v>216082.1943</v>
      </c>
      <c r="G7" s="11">
        <v>480555.72454999998</v>
      </c>
      <c r="H7" s="20" t="s">
        <v>137</v>
      </c>
      <c r="I7" s="20">
        <v>45309.095833333333</v>
      </c>
      <c r="J7">
        <f>IFERROR(MATCH(CoTwo[[#This Row],[UID]],data[UID],0),0)</f>
        <v>6</v>
      </c>
    </row>
    <row r="8" spans="1:10" x14ac:dyDescent="0.25">
      <c r="A8" t="str">
        <f>CoTwo[[#This Row],[Year]] &amp;"-"&amp;CoTwo[[#This Row],[State]]</f>
        <v>2023-Denmark</v>
      </c>
      <c r="B8">
        <f>CoTwo[[#This Row],[CO2_Year]]+2</f>
        <v>2023</v>
      </c>
      <c r="C8" t="str">
        <f>PROPER(IFERROR(INDEX(StateNames[State],MATCH("CO2"&amp;CoTwo[[#This Row],[Year]]&amp;CoTwo[[#This Row],[STATE_UPPER]],StateNames[SNUID],0)),CoTwo[[#This Row],[STATE_UPPER]]))</f>
        <v>Denmark</v>
      </c>
      <c r="D8">
        <v>2021</v>
      </c>
      <c r="E8" t="s">
        <v>45</v>
      </c>
      <c r="F8" s="11">
        <v>600378.51824999996</v>
      </c>
      <c r="G8" s="11">
        <v>1269990.38595</v>
      </c>
      <c r="H8" s="20" t="s">
        <v>137</v>
      </c>
      <c r="I8" s="20">
        <v>45309.095833333333</v>
      </c>
      <c r="J8">
        <f>IFERROR(MATCH(CoTwo[[#This Row],[UID]],data[UID],0),0)</f>
        <v>7</v>
      </c>
    </row>
    <row r="9" spans="1:10" x14ac:dyDescent="0.25">
      <c r="A9" t="str">
        <f>CoTwo[[#This Row],[Year]] &amp;"-"&amp;CoTwo[[#This Row],[State]]</f>
        <v>2023-Estonia</v>
      </c>
      <c r="B9">
        <f>CoTwo[[#This Row],[CO2_Year]]+2</f>
        <v>2023</v>
      </c>
      <c r="C9" t="str">
        <f>PROPER(IFERROR(INDEX(StateNames[State],MATCH("CO2"&amp;CoTwo[[#This Row],[Year]]&amp;CoTwo[[#This Row],[STATE_UPPER]],StateNames[SNUID],0)),CoTwo[[#This Row],[STATE_UPPER]]))</f>
        <v>Estonia</v>
      </c>
      <c r="D9">
        <v>2021</v>
      </c>
      <c r="E9" t="s">
        <v>46</v>
      </c>
      <c r="F9" s="11">
        <v>72373.795199999993</v>
      </c>
      <c r="G9" s="11">
        <v>135622.14305000001</v>
      </c>
      <c r="H9" s="20" t="s">
        <v>137</v>
      </c>
      <c r="I9" s="20">
        <v>45309.095833333333</v>
      </c>
      <c r="J9">
        <f>IFERROR(MATCH(CoTwo[[#This Row],[UID]],data[UID],0),0)</f>
        <v>8</v>
      </c>
    </row>
    <row r="10" spans="1:10" x14ac:dyDescent="0.25">
      <c r="A10" t="str">
        <f>CoTwo[[#This Row],[Year]] &amp;"-"&amp;CoTwo[[#This Row],[State]]</f>
        <v>2023-Finland</v>
      </c>
      <c r="B10">
        <f>CoTwo[[#This Row],[CO2_Year]]+2</f>
        <v>2023</v>
      </c>
      <c r="C10" t="str">
        <f>PROPER(IFERROR(INDEX(StateNames[State],MATCH("CO2"&amp;CoTwo[[#This Row],[Year]]&amp;CoTwo[[#This Row],[STATE_UPPER]],StateNames[SNUID],0)),CoTwo[[#This Row],[STATE_UPPER]]))</f>
        <v>Finland</v>
      </c>
      <c r="D10">
        <v>2021</v>
      </c>
      <c r="E10" t="s">
        <v>47</v>
      </c>
      <c r="F10" s="11">
        <v>356123.34135</v>
      </c>
      <c r="G10" s="11">
        <v>831514.22140000004</v>
      </c>
      <c r="H10" s="20" t="s">
        <v>137</v>
      </c>
      <c r="I10" s="20">
        <v>45309.095833333333</v>
      </c>
      <c r="J10">
        <f>IFERROR(MATCH(CoTwo[[#This Row],[UID]],data[UID],0),0)</f>
        <v>9</v>
      </c>
    </row>
    <row r="11" spans="1:10" x14ac:dyDescent="0.25">
      <c r="A11" t="str">
        <f>CoTwo[[#This Row],[Year]] &amp;"-"&amp;CoTwo[[#This Row],[State]]</f>
        <v>2023-France</v>
      </c>
      <c r="B11">
        <f>CoTwo[[#This Row],[CO2_Year]]+2</f>
        <v>2023</v>
      </c>
      <c r="C11" t="str">
        <f>PROPER(IFERROR(INDEX(StateNames[State],MATCH("CO2"&amp;CoTwo[[#This Row],[Year]]&amp;CoTwo[[#This Row],[STATE_UPPER]],StateNames[SNUID],0)),CoTwo[[#This Row],[STATE_UPPER]]))</f>
        <v>France</v>
      </c>
      <c r="D11">
        <v>2021</v>
      </c>
      <c r="E11" t="s">
        <v>48</v>
      </c>
      <c r="F11" s="11">
        <v>3416708.1815999998</v>
      </c>
      <c r="G11" s="11">
        <v>9042442.0377999991</v>
      </c>
      <c r="H11" s="20" t="s">
        <v>137</v>
      </c>
      <c r="I11" s="20">
        <v>45309.095833333333</v>
      </c>
      <c r="J11">
        <f>IFERROR(MATCH(CoTwo[[#This Row],[UID]],data[UID],0),0)</f>
        <v>10</v>
      </c>
    </row>
    <row r="12" spans="1:10" x14ac:dyDescent="0.25">
      <c r="A12" t="str">
        <f>CoTwo[[#This Row],[Year]] &amp;"-"&amp;CoTwo[[#This Row],[State]]</f>
        <v>2023-Germany</v>
      </c>
      <c r="B12">
        <f>CoTwo[[#This Row],[CO2_Year]]+2</f>
        <v>2023</v>
      </c>
      <c r="C12" t="str">
        <f>PROPER(IFERROR(INDEX(StateNames[State],MATCH("CO2"&amp;CoTwo[[#This Row],[Year]]&amp;CoTwo[[#This Row],[STATE_UPPER]],StateNames[SNUID],0)),CoTwo[[#This Row],[STATE_UPPER]]))</f>
        <v>Germany</v>
      </c>
      <c r="D12">
        <v>2021</v>
      </c>
      <c r="E12" t="s">
        <v>49</v>
      </c>
      <c r="F12" s="11">
        <v>3913737.9750000001</v>
      </c>
      <c r="G12" s="11">
        <v>15552330.564300001</v>
      </c>
      <c r="H12" s="20" t="s">
        <v>137</v>
      </c>
      <c r="I12" s="20">
        <v>45309.095833333333</v>
      </c>
      <c r="J12">
        <f>IFERROR(MATCH(CoTwo[[#This Row],[UID]],data[UID],0),0)</f>
        <v>11</v>
      </c>
    </row>
    <row r="13" spans="1:10" x14ac:dyDescent="0.25">
      <c r="A13" t="str">
        <f>CoTwo[[#This Row],[Year]] &amp;"-"&amp;CoTwo[[#This Row],[State]]</f>
        <v>2023-Greece</v>
      </c>
      <c r="B13">
        <f>CoTwo[[#This Row],[CO2_Year]]+2</f>
        <v>2023</v>
      </c>
      <c r="C13" t="str">
        <f>PROPER(IFERROR(INDEX(StateNames[State],MATCH("CO2"&amp;CoTwo[[#This Row],[Year]]&amp;CoTwo[[#This Row],[STATE_UPPER]],StateNames[SNUID],0)),CoTwo[[#This Row],[STATE_UPPER]]))</f>
        <v>Greece</v>
      </c>
      <c r="D13">
        <v>2021</v>
      </c>
      <c r="E13" t="s">
        <v>50</v>
      </c>
      <c r="F13" s="11">
        <v>2183181.7518000002</v>
      </c>
      <c r="G13" s="11">
        <v>2532141.3162500001</v>
      </c>
      <c r="H13" s="20" t="s">
        <v>137</v>
      </c>
      <c r="I13" s="20">
        <v>45309.095833333333</v>
      </c>
      <c r="J13">
        <f>IFERROR(MATCH(CoTwo[[#This Row],[UID]],data[UID],0),0)</f>
        <v>12</v>
      </c>
    </row>
    <row r="14" spans="1:10" x14ac:dyDescent="0.25">
      <c r="A14" t="str">
        <f>CoTwo[[#This Row],[Year]] &amp;"-"&amp;CoTwo[[#This Row],[State]]</f>
        <v>2023-Iceland</v>
      </c>
      <c r="B14">
        <f>CoTwo[[#This Row],[CO2_Year]]+2</f>
        <v>2023</v>
      </c>
      <c r="C14" t="str">
        <f>PROPER(IFERROR(INDEX(StateNames[State],MATCH("CO2"&amp;CoTwo[[#This Row],[Year]]&amp;CoTwo[[#This Row],[STATE_UPPER]],StateNames[SNUID],0)),CoTwo[[#This Row],[STATE_UPPER]]))</f>
        <v>Iceland</v>
      </c>
      <c r="D14">
        <v>2021</v>
      </c>
      <c r="E14" t="s">
        <v>51</v>
      </c>
      <c r="F14" s="11">
        <v>209457.37880000001</v>
      </c>
      <c r="G14" s="11">
        <v>459985.05609999999</v>
      </c>
      <c r="H14" s="20" t="s">
        <v>137</v>
      </c>
      <c r="I14" s="20">
        <v>45309.095833333333</v>
      </c>
      <c r="J14">
        <f>IFERROR(MATCH(CoTwo[[#This Row],[UID]],data[UID],0),0)</f>
        <v>13</v>
      </c>
    </row>
    <row r="15" spans="1:10" x14ac:dyDescent="0.25">
      <c r="A15" t="str">
        <f>CoTwo[[#This Row],[Year]] &amp;"-"&amp;CoTwo[[#This Row],[State]]</f>
        <v>2023-Ireland</v>
      </c>
      <c r="B15">
        <f>CoTwo[[#This Row],[CO2_Year]]+2</f>
        <v>2023</v>
      </c>
      <c r="C15" t="str">
        <f>PROPER(IFERROR(INDEX(StateNames[State],MATCH("CO2"&amp;CoTwo[[#This Row],[Year]]&amp;CoTwo[[#This Row],[STATE_UPPER]],StateNames[SNUID],0)),CoTwo[[#This Row],[STATE_UPPER]]))</f>
        <v>Ireland</v>
      </c>
      <c r="D15">
        <v>2021</v>
      </c>
      <c r="E15" t="s">
        <v>52</v>
      </c>
      <c r="F15" s="11">
        <v>568931.02560000005</v>
      </c>
      <c r="G15" s="11">
        <v>1222389.4747500001</v>
      </c>
      <c r="H15" s="20" t="s">
        <v>137</v>
      </c>
      <c r="I15" s="20">
        <v>45309.095833333333</v>
      </c>
      <c r="J15">
        <f>IFERROR(MATCH(CoTwo[[#This Row],[UID]],data[UID],0),0)</f>
        <v>14</v>
      </c>
    </row>
    <row r="16" spans="1:10" x14ac:dyDescent="0.25">
      <c r="A16" t="str">
        <f>CoTwo[[#This Row],[Year]] &amp;"-"&amp;CoTwo[[#This Row],[State]]</f>
        <v>2023-Italy</v>
      </c>
      <c r="B16">
        <f>CoTwo[[#This Row],[CO2_Year]]+2</f>
        <v>2023</v>
      </c>
      <c r="C16" t="str">
        <f>PROPER(IFERROR(INDEX(StateNames[State],MATCH("CO2"&amp;CoTwo[[#This Row],[Year]]&amp;CoTwo[[#This Row],[STATE_UPPER]],StateNames[SNUID],0)),CoTwo[[#This Row],[STATE_UPPER]]))</f>
        <v>Italy</v>
      </c>
      <c r="D16">
        <v>2021</v>
      </c>
      <c r="E16" t="s">
        <v>53</v>
      </c>
      <c r="F16" s="11">
        <v>3817558.8108000001</v>
      </c>
      <c r="G16" s="11">
        <v>4873094.8019000003</v>
      </c>
      <c r="H16" s="20" t="s">
        <v>137</v>
      </c>
      <c r="I16" s="20">
        <v>45309.095833333333</v>
      </c>
      <c r="J16">
        <f>IFERROR(MATCH(CoTwo[[#This Row],[UID]],data[UID],0),0)</f>
        <v>15</v>
      </c>
    </row>
    <row r="17" spans="1:10" x14ac:dyDescent="0.25">
      <c r="A17" t="str">
        <f>CoTwo[[#This Row],[Year]] &amp;"-"&amp;CoTwo[[#This Row],[State]]</f>
        <v>2023-Lithuania</v>
      </c>
      <c r="B17">
        <f>CoTwo[[#This Row],[CO2_Year]]+2</f>
        <v>2023</v>
      </c>
      <c r="C17" t="str">
        <f>PROPER(IFERROR(INDEX(StateNames[State],MATCH("CO2"&amp;CoTwo[[#This Row],[Year]]&amp;CoTwo[[#This Row],[STATE_UPPER]],StateNames[SNUID],0)),CoTwo[[#This Row],[STATE_UPPER]]))</f>
        <v>Lithuania</v>
      </c>
      <c r="D17">
        <v>2021</v>
      </c>
      <c r="E17" t="s">
        <v>54</v>
      </c>
      <c r="F17" s="11">
        <v>155469.64230000001</v>
      </c>
      <c r="G17" s="11">
        <v>215025.27984999999</v>
      </c>
      <c r="H17" s="20" t="s">
        <v>137</v>
      </c>
      <c r="I17" s="20">
        <v>45309.095833333333</v>
      </c>
      <c r="J17">
        <f>IFERROR(MATCH(CoTwo[[#This Row],[UID]],data[UID],0),0)</f>
        <v>16</v>
      </c>
    </row>
    <row r="18" spans="1:10" x14ac:dyDescent="0.25">
      <c r="A18" t="str">
        <f>CoTwo[[#This Row],[Year]] &amp;"-"&amp;CoTwo[[#This Row],[State]]</f>
        <v>2023-Luxembourg</v>
      </c>
      <c r="B18">
        <f>CoTwo[[#This Row],[CO2_Year]]+2</f>
        <v>2023</v>
      </c>
      <c r="C18" t="str">
        <f>PROPER(IFERROR(INDEX(StateNames[State],MATCH("CO2"&amp;CoTwo[[#This Row],[Year]]&amp;CoTwo[[#This Row],[STATE_UPPER]],StateNames[SNUID],0)),CoTwo[[#This Row],[STATE_UPPER]]))</f>
        <v>Luxembourg</v>
      </c>
      <c r="D18">
        <v>2021</v>
      </c>
      <c r="E18" t="s">
        <v>55</v>
      </c>
      <c r="F18" s="11">
        <v>130817.90609999999</v>
      </c>
      <c r="G18" s="11">
        <v>1811438.1444000001</v>
      </c>
      <c r="H18" s="20" t="s">
        <v>137</v>
      </c>
      <c r="I18" s="20">
        <v>45309.095833333333</v>
      </c>
      <c r="J18">
        <f>IFERROR(MATCH(CoTwo[[#This Row],[UID]],data[UID],0),0)</f>
        <v>17</v>
      </c>
    </row>
    <row r="19" spans="1:10" x14ac:dyDescent="0.25">
      <c r="A19" t="str">
        <f>CoTwo[[#This Row],[Year]] &amp;"-"&amp;CoTwo[[#This Row],[State]]</f>
        <v>2023-Malta</v>
      </c>
      <c r="B19">
        <f>CoTwo[[#This Row],[CO2_Year]]+2</f>
        <v>2023</v>
      </c>
      <c r="C19" t="str">
        <f>PROPER(IFERROR(INDEX(StateNames[State],MATCH("CO2"&amp;CoTwo[[#This Row],[Year]]&amp;CoTwo[[#This Row],[STATE_UPPER]],StateNames[SNUID],0)),CoTwo[[#This Row],[STATE_UPPER]]))</f>
        <v>Malta</v>
      </c>
      <c r="D19">
        <v>2021</v>
      </c>
      <c r="E19" t="s">
        <v>56</v>
      </c>
      <c r="F19" s="11">
        <v>206328.51855000001</v>
      </c>
      <c r="G19" s="11">
        <v>245544.19889999999</v>
      </c>
      <c r="H19" s="20" t="s">
        <v>137</v>
      </c>
      <c r="I19" s="20">
        <v>45309.095833333333</v>
      </c>
      <c r="J19">
        <f>IFERROR(MATCH(CoTwo[[#This Row],[UID]],data[UID],0),0)</f>
        <v>18</v>
      </c>
    </row>
    <row r="20" spans="1:10" x14ac:dyDescent="0.25">
      <c r="A20" t="str">
        <f>CoTwo[[#This Row],[Year]] &amp;"-"&amp;CoTwo[[#This Row],[State]]</f>
        <v>2023-Netherlands</v>
      </c>
      <c r="B20">
        <f>CoTwo[[#This Row],[CO2_Year]]+2</f>
        <v>2023</v>
      </c>
      <c r="C20" t="str">
        <f>PROPER(IFERROR(INDEX(StateNames[State],MATCH("CO2"&amp;CoTwo[[#This Row],[Year]]&amp;CoTwo[[#This Row],[STATE_UPPER]],StateNames[SNUID],0)),CoTwo[[#This Row],[STATE_UPPER]]))</f>
        <v>Netherlands</v>
      </c>
      <c r="D20">
        <v>2021</v>
      </c>
      <c r="E20" t="s">
        <v>57</v>
      </c>
      <c r="F20" s="11">
        <v>1348457.4620999999</v>
      </c>
      <c r="G20" s="11">
        <v>7006377.4775999999</v>
      </c>
      <c r="H20" s="20" t="s">
        <v>137</v>
      </c>
      <c r="I20" s="20">
        <v>45309.095833333333</v>
      </c>
      <c r="J20">
        <f>IFERROR(MATCH(CoTwo[[#This Row],[UID]],data[UID],0),0)</f>
        <v>19</v>
      </c>
    </row>
    <row r="21" spans="1:10" x14ac:dyDescent="0.25">
      <c r="A21" t="str">
        <f>CoTwo[[#This Row],[Year]] &amp;"-"&amp;CoTwo[[#This Row],[State]]</f>
        <v>2023-Norway</v>
      </c>
      <c r="B21">
        <f>CoTwo[[#This Row],[CO2_Year]]+2</f>
        <v>2023</v>
      </c>
      <c r="C21" t="str">
        <f>PROPER(IFERROR(INDEX(StateNames[State],MATCH("CO2"&amp;CoTwo[[#This Row],[Year]]&amp;CoTwo[[#This Row],[STATE_UPPER]],StateNames[SNUID],0)),CoTwo[[#This Row],[STATE_UPPER]]))</f>
        <v>Norway</v>
      </c>
      <c r="D21">
        <v>2021</v>
      </c>
      <c r="E21" t="s">
        <v>58</v>
      </c>
      <c r="F21" s="11">
        <v>1053627.8004000001</v>
      </c>
      <c r="G21" s="11">
        <v>708422.06720000005</v>
      </c>
      <c r="H21" s="20" t="s">
        <v>137</v>
      </c>
      <c r="I21" s="20">
        <v>45309.095833333333</v>
      </c>
      <c r="J21">
        <f>IFERROR(MATCH(CoTwo[[#This Row],[UID]],data[UID],0),0)</f>
        <v>20</v>
      </c>
    </row>
    <row r="22" spans="1:10" x14ac:dyDescent="0.25">
      <c r="A22" t="str">
        <f>CoTwo[[#This Row],[Year]] &amp;"-"&amp;CoTwo[[#This Row],[State]]</f>
        <v>2023-Portugal</v>
      </c>
      <c r="B22">
        <f>CoTwo[[#This Row],[CO2_Year]]+2</f>
        <v>2023</v>
      </c>
      <c r="C22" t="str">
        <f>PROPER(IFERROR(INDEX(StateNames[State],MATCH("CO2"&amp;CoTwo[[#This Row],[Year]]&amp;CoTwo[[#This Row],[STATE_UPPER]],StateNames[SNUID],0)),CoTwo[[#This Row],[STATE_UPPER]]))</f>
        <v>Portugal</v>
      </c>
      <c r="D22">
        <v>2021</v>
      </c>
      <c r="E22" t="s">
        <v>59</v>
      </c>
      <c r="F22" s="11">
        <v>1274250.4393499999</v>
      </c>
      <c r="G22" s="11">
        <v>2255269.1946999999</v>
      </c>
      <c r="H22" s="20" t="s">
        <v>137</v>
      </c>
      <c r="I22" s="20">
        <v>45309.095833333333</v>
      </c>
      <c r="J22">
        <f>IFERROR(MATCH(CoTwo[[#This Row],[UID]],data[UID],0),0)</f>
        <v>21</v>
      </c>
    </row>
    <row r="23" spans="1:10" x14ac:dyDescent="0.25">
      <c r="A23" t="str">
        <f>CoTwo[[#This Row],[Year]] &amp;"-"&amp;CoTwo[[#This Row],[State]]</f>
        <v>2023-Romania</v>
      </c>
      <c r="B23">
        <f>CoTwo[[#This Row],[CO2_Year]]+2</f>
        <v>2023</v>
      </c>
      <c r="C23" t="str">
        <f>PROPER(IFERROR(INDEX(StateNames[State],MATCH("CO2"&amp;CoTwo[[#This Row],[Year]]&amp;CoTwo[[#This Row],[STATE_UPPER]],StateNames[SNUID],0)),CoTwo[[#This Row],[STATE_UPPER]]))</f>
        <v>Romania</v>
      </c>
      <c r="D23">
        <v>2021</v>
      </c>
      <c r="E23" t="s">
        <v>60</v>
      </c>
      <c r="F23" s="11">
        <v>691052.69204999995</v>
      </c>
      <c r="G23" s="11">
        <v>801391.24265000003</v>
      </c>
      <c r="H23" s="20" t="s">
        <v>137</v>
      </c>
      <c r="I23" s="20">
        <v>45309.095833333333</v>
      </c>
      <c r="J23">
        <f>IFERROR(MATCH(CoTwo[[#This Row],[UID]],data[UID],0),0)</f>
        <v>22</v>
      </c>
    </row>
    <row r="24" spans="1:10" x14ac:dyDescent="0.25">
      <c r="A24" t="str">
        <f>CoTwo[[#This Row],[Year]] &amp;"-"&amp;CoTwo[[#This Row],[State]]</f>
        <v>2023-Slovakia</v>
      </c>
      <c r="B24">
        <f>CoTwo[[#This Row],[CO2_Year]]+2</f>
        <v>2023</v>
      </c>
      <c r="C24" t="str">
        <f>PROPER(IFERROR(INDEX(StateNames[State],MATCH("CO2"&amp;CoTwo[[#This Row],[Year]]&amp;CoTwo[[#This Row],[STATE_UPPER]],StateNames[SNUID],0)),CoTwo[[#This Row],[STATE_UPPER]]))</f>
        <v>Slovakia</v>
      </c>
      <c r="D24">
        <v>2021</v>
      </c>
      <c r="E24" t="s">
        <v>79</v>
      </c>
      <c r="F24" s="11">
        <v>43707.632850000002</v>
      </c>
      <c r="G24" s="11">
        <v>62662.561350000004</v>
      </c>
      <c r="H24" s="20" t="s">
        <v>137</v>
      </c>
      <c r="I24" s="20">
        <v>45309.095833333333</v>
      </c>
      <c r="J24">
        <f>IFERROR(MATCH(CoTwo[[#This Row],[UID]],data[UID],0),0)</f>
        <v>23</v>
      </c>
    </row>
    <row r="25" spans="1:10" x14ac:dyDescent="0.25">
      <c r="A25" t="str">
        <f>CoTwo[[#This Row],[Year]] &amp;"-"&amp;CoTwo[[#This Row],[State]]</f>
        <v>2023-Slovenia</v>
      </c>
      <c r="B25">
        <f>CoTwo[[#This Row],[CO2_Year]]+2</f>
        <v>2023</v>
      </c>
      <c r="C25" t="str">
        <f>PROPER(IFERROR(INDEX(StateNames[State],MATCH("CO2"&amp;CoTwo[[#This Row],[Year]]&amp;CoTwo[[#This Row],[STATE_UPPER]],StateNames[SNUID],0)),CoTwo[[#This Row],[STATE_UPPER]]))</f>
        <v>Slovenia</v>
      </c>
      <c r="D25">
        <v>2021</v>
      </c>
      <c r="E25" t="s">
        <v>61</v>
      </c>
      <c r="F25" s="11">
        <v>24722.677350000002</v>
      </c>
      <c r="G25" s="11">
        <v>41768.463000000003</v>
      </c>
      <c r="H25" s="20" t="s">
        <v>137</v>
      </c>
      <c r="I25" s="20">
        <v>45309.095833333333</v>
      </c>
      <c r="J25">
        <f>IFERROR(MATCH(CoTwo[[#This Row],[UID]],data[UID],0),0)</f>
        <v>24</v>
      </c>
    </row>
    <row r="26" spans="1:10" x14ac:dyDescent="0.25">
      <c r="A26" t="str">
        <f>CoTwo[[#This Row],[Year]] &amp;"-"&amp;CoTwo[[#This Row],[State]]</f>
        <v>2023-Spain</v>
      </c>
      <c r="B26">
        <f>CoTwo[[#This Row],[CO2_Year]]+2</f>
        <v>2023</v>
      </c>
      <c r="C26" t="str">
        <f>PROPER(IFERROR(INDEX(StateNames[State],MATCH("CO2"&amp;CoTwo[[#This Row],[Year]]&amp;CoTwo[[#This Row],[STATE_UPPER]],StateNames[SNUID],0)),CoTwo[[#This Row],[STATE_UPPER]]))</f>
        <v>Spain</v>
      </c>
      <c r="D26">
        <v>2021</v>
      </c>
      <c r="E26" t="s">
        <v>62</v>
      </c>
      <c r="F26" s="11">
        <v>4660787.3476499999</v>
      </c>
      <c r="G26" s="11">
        <v>8468905.9103500005</v>
      </c>
      <c r="H26" s="20" t="s">
        <v>137</v>
      </c>
      <c r="I26" s="20">
        <v>45309.095833333333</v>
      </c>
      <c r="J26">
        <f>IFERROR(MATCH(CoTwo[[#This Row],[UID]],data[UID],0),0)</f>
        <v>25</v>
      </c>
    </row>
    <row r="27" spans="1:10" x14ac:dyDescent="0.25">
      <c r="A27" t="str">
        <f>CoTwo[[#This Row],[Year]] &amp;"-"&amp;CoTwo[[#This Row],[State]]</f>
        <v>2023-Sweden</v>
      </c>
      <c r="B27">
        <f>CoTwo[[#This Row],[CO2_Year]]+2</f>
        <v>2023</v>
      </c>
      <c r="C27" t="str">
        <f>PROPER(IFERROR(INDEX(StateNames[State],MATCH("CO2"&amp;CoTwo[[#This Row],[Year]]&amp;CoTwo[[#This Row],[STATE_UPPER]],StateNames[SNUID],0)),CoTwo[[#This Row],[STATE_UPPER]]))</f>
        <v>Sweden</v>
      </c>
      <c r="D27">
        <v>2021</v>
      </c>
      <c r="E27" t="s">
        <v>63</v>
      </c>
      <c r="F27" s="11">
        <v>711241.57755000005</v>
      </c>
      <c r="G27" s="11">
        <v>939749.54009999998</v>
      </c>
      <c r="H27" s="20" t="s">
        <v>137</v>
      </c>
      <c r="I27" s="20">
        <v>45309.095833333333</v>
      </c>
      <c r="J27">
        <f>IFERROR(MATCH(CoTwo[[#This Row],[UID]],data[UID],0),0)</f>
        <v>26</v>
      </c>
    </row>
    <row r="28" spans="1:10" x14ac:dyDescent="0.25">
      <c r="A28" t="str">
        <f>CoTwo[[#This Row],[Year]] &amp;"-"&amp;CoTwo[[#This Row],[State]]</f>
        <v>2023-Switzerland</v>
      </c>
      <c r="B28">
        <f>CoTwo[[#This Row],[CO2_Year]]+2</f>
        <v>2023</v>
      </c>
      <c r="C28" t="str">
        <f>PROPER(IFERROR(INDEX(StateNames[State],MATCH("CO2"&amp;CoTwo[[#This Row],[Year]]&amp;CoTwo[[#This Row],[STATE_UPPER]],StateNames[SNUID],0)),CoTwo[[#This Row],[STATE_UPPER]]))</f>
        <v>Switzerland</v>
      </c>
      <c r="D28">
        <v>2021</v>
      </c>
      <c r="E28" t="s">
        <v>64</v>
      </c>
      <c r="F28" s="11">
        <v>641037.2598</v>
      </c>
      <c r="G28" s="11">
        <v>2422684.0796500002</v>
      </c>
      <c r="H28" s="20" t="s">
        <v>137</v>
      </c>
      <c r="I28" s="20">
        <v>45309.095833333333</v>
      </c>
      <c r="J28">
        <f>IFERROR(MATCH(CoTwo[[#This Row],[UID]],data[UID],0),0)</f>
        <v>27</v>
      </c>
    </row>
    <row r="29" spans="1:10" x14ac:dyDescent="0.25">
      <c r="A29" t="str">
        <f>CoTwo[[#This Row],[Year]] &amp;"-"&amp;CoTwo[[#This Row],[State]]</f>
        <v>2023-United Kingdom</v>
      </c>
      <c r="B29">
        <f>CoTwo[[#This Row],[CO2_Year]]+2</f>
        <v>2023</v>
      </c>
      <c r="C29" t="str">
        <f>PROPER(IFERROR(INDEX(StateNames[State],MATCH("CO2"&amp;CoTwo[[#This Row],[Year]]&amp;CoTwo[[#This Row],[STATE_UPPER]],StateNames[SNUID],0)),CoTwo[[#This Row],[STATE_UPPER]]))</f>
        <v>United Kingdom</v>
      </c>
      <c r="D29">
        <v>2021</v>
      </c>
      <c r="E29" t="s">
        <v>65</v>
      </c>
      <c r="F29" s="11">
        <v>3694354.6972500002</v>
      </c>
      <c r="G29" s="11">
        <v>12696872.37575</v>
      </c>
      <c r="H29" s="20" t="s">
        <v>137</v>
      </c>
      <c r="I29" s="20">
        <v>45309.095833333333</v>
      </c>
      <c r="J29">
        <f>IFERROR(MATCH(CoTwo[[#This Row],[UID]],data[UID],0),0)</f>
        <v>28</v>
      </c>
    </row>
    <row r="30" spans="1:10" x14ac:dyDescent="0.25">
      <c r="A30" t="str">
        <f>CoTwo[[#This Row],[Year]] &amp;"-"&amp;CoTwo[[#This Row],[State]]</f>
        <v>2024-Austria</v>
      </c>
      <c r="B30">
        <f>CoTwo[[#This Row],[CO2_Year]]+2</f>
        <v>2024</v>
      </c>
      <c r="C30" t="str">
        <f>PROPER(IFERROR(INDEX(StateNames[State],MATCH("CO2"&amp;CoTwo[[#This Row],[Year]]&amp;CoTwo[[#This Row],[STATE_UPPER]],StateNames[SNUID],0)),CoTwo[[#This Row],[STATE_UPPER]]))</f>
        <v>Austria</v>
      </c>
      <c r="D30">
        <v>2022</v>
      </c>
      <c r="E30" t="s">
        <v>40</v>
      </c>
      <c r="F30" s="11">
        <v>1057955.8342500001</v>
      </c>
      <c r="G30" s="11">
        <v>2093495.47275</v>
      </c>
      <c r="H30" s="20" t="s">
        <v>137</v>
      </c>
      <c r="I30" s="20">
        <v>45309.097916666666</v>
      </c>
      <c r="J30">
        <f>IFERROR(MATCH(CoTwo[[#This Row],[UID]],data[UID],0),0)</f>
        <v>29</v>
      </c>
    </row>
    <row r="31" spans="1:10" x14ac:dyDescent="0.25">
      <c r="A31" t="str">
        <f>CoTwo[[#This Row],[Year]] &amp;"-"&amp;CoTwo[[#This Row],[State]]</f>
        <v>2024-Belgium</v>
      </c>
      <c r="B31">
        <f>CoTwo[[#This Row],[CO2_Year]]+2</f>
        <v>2024</v>
      </c>
      <c r="C31" t="str">
        <f>PROPER(IFERROR(INDEX(StateNames[State],MATCH("CO2"&amp;CoTwo[[#This Row],[Year]]&amp;CoTwo[[#This Row],[STATE_UPPER]],StateNames[SNUID],0)),CoTwo[[#This Row],[STATE_UPPER]]))</f>
        <v>Belgium</v>
      </c>
      <c r="D31">
        <v>2022</v>
      </c>
      <c r="E31" t="s">
        <v>41</v>
      </c>
      <c r="F31" s="11">
        <v>1241092.6605</v>
      </c>
      <c r="G31" s="11">
        <v>4879967.0153999999</v>
      </c>
      <c r="H31" s="20" t="s">
        <v>137</v>
      </c>
      <c r="I31" s="20">
        <v>45309.097916666666</v>
      </c>
      <c r="J31">
        <f>IFERROR(MATCH(CoTwo[[#This Row],[UID]],data[UID],0),0)</f>
        <v>30</v>
      </c>
    </row>
    <row r="32" spans="1:10" x14ac:dyDescent="0.25">
      <c r="A32" t="str">
        <f>CoTwo[[#This Row],[Year]] &amp;"-"&amp;CoTwo[[#This Row],[State]]</f>
        <v>2024-Bulgaria</v>
      </c>
      <c r="B32">
        <f>CoTwo[[#This Row],[CO2_Year]]+2</f>
        <v>2024</v>
      </c>
      <c r="C32" t="str">
        <f>PROPER(IFERROR(INDEX(StateNames[State],MATCH("CO2"&amp;CoTwo[[#This Row],[Year]]&amp;CoTwo[[#This Row],[STATE_UPPER]],StateNames[SNUID],0)),CoTwo[[#This Row],[STATE_UPPER]]))</f>
        <v>Bulgaria</v>
      </c>
      <c r="D32">
        <v>2022</v>
      </c>
      <c r="E32" t="s">
        <v>42</v>
      </c>
      <c r="F32" s="11">
        <v>505765.68839999998</v>
      </c>
      <c r="G32" s="11">
        <v>637386.45655</v>
      </c>
      <c r="H32" s="20" t="s">
        <v>137</v>
      </c>
      <c r="I32" s="20">
        <v>45309.097916666666</v>
      </c>
      <c r="J32">
        <f>IFERROR(MATCH(CoTwo[[#This Row],[UID]],data[UID],0),0)</f>
        <v>31</v>
      </c>
    </row>
    <row r="33" spans="1:10" x14ac:dyDescent="0.25">
      <c r="A33" t="str">
        <f>CoTwo[[#This Row],[Year]] &amp;"-"&amp;CoTwo[[#This Row],[State]]</f>
        <v>2024-Croatia</v>
      </c>
      <c r="B33">
        <f>CoTwo[[#This Row],[CO2_Year]]+2</f>
        <v>2024</v>
      </c>
      <c r="C33" t="str">
        <f>PROPER(IFERROR(INDEX(StateNames[State],MATCH("CO2"&amp;CoTwo[[#This Row],[Year]]&amp;CoTwo[[#This Row],[STATE_UPPER]],StateNames[SNUID],0)),CoTwo[[#This Row],[STATE_UPPER]]))</f>
        <v>Croatia</v>
      </c>
      <c r="D33">
        <v>2022</v>
      </c>
      <c r="E33" t="s">
        <v>43</v>
      </c>
      <c r="F33" s="11">
        <v>490546.97369999997</v>
      </c>
      <c r="G33" s="11">
        <v>541014.79299999995</v>
      </c>
      <c r="H33" s="20" t="s">
        <v>137</v>
      </c>
      <c r="I33" s="20">
        <v>45309.097916666666</v>
      </c>
      <c r="J33">
        <f>IFERROR(MATCH(CoTwo[[#This Row],[UID]],data[UID],0),0)</f>
        <v>32</v>
      </c>
    </row>
    <row r="34" spans="1:10" x14ac:dyDescent="0.25">
      <c r="A34" t="str">
        <f>CoTwo[[#This Row],[Year]] &amp;"-"&amp;CoTwo[[#This Row],[State]]</f>
        <v>2024-Cyprus</v>
      </c>
      <c r="B34">
        <f>CoTwo[[#This Row],[CO2_Year]]+2</f>
        <v>2024</v>
      </c>
      <c r="C34" t="str">
        <f>PROPER(IFERROR(INDEX(StateNames[State],MATCH("CO2"&amp;CoTwo[[#This Row],[Year]]&amp;CoTwo[[#This Row],[STATE_UPPER]],StateNames[SNUID],0)),CoTwo[[#This Row],[STATE_UPPER]]))</f>
        <v>Cyprus</v>
      </c>
      <c r="D34">
        <v>2022</v>
      </c>
      <c r="E34" t="s">
        <v>44</v>
      </c>
      <c r="F34" s="11">
        <v>664752.66165000002</v>
      </c>
      <c r="G34" s="11">
        <v>771281.96354999999</v>
      </c>
      <c r="H34" s="20" t="s">
        <v>137</v>
      </c>
      <c r="I34" s="20">
        <v>45309.097916666666</v>
      </c>
      <c r="J34">
        <f>IFERROR(MATCH(CoTwo[[#This Row],[UID]],data[UID],0),0)</f>
        <v>33</v>
      </c>
    </row>
    <row r="35" spans="1:10" x14ac:dyDescent="0.25">
      <c r="A35" t="str">
        <f>CoTwo[[#This Row],[Year]] &amp;"-"&amp;CoTwo[[#This Row],[State]]</f>
        <v>2024-Czech Republic</v>
      </c>
      <c r="B35">
        <f>CoTwo[[#This Row],[CO2_Year]]+2</f>
        <v>2024</v>
      </c>
      <c r="C35" t="str">
        <f>PROPER(IFERROR(INDEX(StateNames[State],MATCH("CO2"&amp;CoTwo[[#This Row],[Year]]&amp;CoTwo[[#This Row],[STATE_UPPER]],StateNames[SNUID],0)),CoTwo[[#This Row],[STATE_UPPER]]))</f>
        <v>Czech Republic</v>
      </c>
      <c r="D35">
        <v>2022</v>
      </c>
      <c r="E35" t="s">
        <v>138</v>
      </c>
      <c r="F35" s="11">
        <v>419390.03610000003</v>
      </c>
      <c r="G35" s="11">
        <v>808354.26064999995</v>
      </c>
      <c r="H35" s="20" t="s">
        <v>137</v>
      </c>
      <c r="I35" s="20">
        <v>45309.097916666666</v>
      </c>
      <c r="J35">
        <f>IFERROR(MATCH(CoTwo[[#This Row],[UID]],data[UID],0),0)</f>
        <v>34</v>
      </c>
    </row>
    <row r="36" spans="1:10" x14ac:dyDescent="0.25">
      <c r="A36" t="str">
        <f>CoTwo[[#This Row],[Year]] &amp;"-"&amp;CoTwo[[#This Row],[State]]</f>
        <v>2024-Denmark</v>
      </c>
      <c r="B36">
        <f>CoTwo[[#This Row],[CO2_Year]]+2</f>
        <v>2024</v>
      </c>
      <c r="C36" t="str">
        <f>PROPER(IFERROR(INDEX(StateNames[State],MATCH("CO2"&amp;CoTwo[[#This Row],[Year]]&amp;CoTwo[[#This Row],[STATE_UPPER]],StateNames[SNUID],0)),CoTwo[[#This Row],[STATE_UPPER]]))</f>
        <v>Denmark</v>
      </c>
      <c r="D36">
        <v>2022</v>
      </c>
      <c r="E36" t="s">
        <v>45</v>
      </c>
      <c r="F36" s="11">
        <v>1178897.30595</v>
      </c>
      <c r="G36" s="11">
        <v>2145166.7595000002</v>
      </c>
      <c r="H36" s="20" t="s">
        <v>137</v>
      </c>
      <c r="I36" s="20">
        <v>45309.097916666666</v>
      </c>
      <c r="J36">
        <f>IFERROR(MATCH(CoTwo[[#This Row],[UID]],data[UID],0),0)</f>
        <v>35</v>
      </c>
    </row>
    <row r="37" spans="1:10" x14ac:dyDescent="0.25">
      <c r="A37" t="str">
        <f>CoTwo[[#This Row],[Year]] &amp;"-"&amp;CoTwo[[#This Row],[State]]</f>
        <v>2024-Estonia</v>
      </c>
      <c r="B37">
        <f>CoTwo[[#This Row],[CO2_Year]]+2</f>
        <v>2024</v>
      </c>
      <c r="C37" t="str">
        <f>PROPER(IFERROR(INDEX(StateNames[State],MATCH("CO2"&amp;CoTwo[[#This Row],[Year]]&amp;CoTwo[[#This Row],[STATE_UPPER]],StateNames[SNUID],0)),CoTwo[[#This Row],[STATE_UPPER]]))</f>
        <v>Estonia</v>
      </c>
      <c r="D37">
        <v>2022</v>
      </c>
      <c r="E37" t="s">
        <v>46</v>
      </c>
      <c r="F37" s="11">
        <v>127821.0906</v>
      </c>
      <c r="G37" s="11">
        <v>182230.98180000001</v>
      </c>
      <c r="H37" s="20" t="s">
        <v>137</v>
      </c>
      <c r="I37" s="20">
        <v>45309.097916666666</v>
      </c>
      <c r="J37">
        <f>IFERROR(MATCH(CoTwo[[#This Row],[UID]],data[UID],0),0)</f>
        <v>36</v>
      </c>
    </row>
    <row r="38" spans="1:10" x14ac:dyDescent="0.25">
      <c r="A38" t="str">
        <f>CoTwo[[#This Row],[Year]] &amp;"-"&amp;CoTwo[[#This Row],[State]]</f>
        <v>2024-Finland</v>
      </c>
      <c r="B38">
        <f>CoTwo[[#This Row],[CO2_Year]]+2</f>
        <v>2024</v>
      </c>
      <c r="C38" t="str">
        <f>PROPER(IFERROR(INDEX(StateNames[State],MATCH("CO2"&amp;CoTwo[[#This Row],[Year]]&amp;CoTwo[[#This Row],[STATE_UPPER]],StateNames[SNUID],0)),CoTwo[[#This Row],[STATE_UPPER]]))</f>
        <v>Finland</v>
      </c>
      <c r="D38">
        <v>2022</v>
      </c>
      <c r="E38" t="s">
        <v>47</v>
      </c>
      <c r="F38" s="11">
        <v>888690.19680000003</v>
      </c>
      <c r="G38" s="11">
        <v>1611327.2556499999</v>
      </c>
      <c r="H38" s="20" t="s">
        <v>137</v>
      </c>
      <c r="I38" s="20">
        <v>45309.097916666666</v>
      </c>
      <c r="J38">
        <f>IFERROR(MATCH(CoTwo[[#This Row],[UID]],data[UID],0),0)</f>
        <v>37</v>
      </c>
    </row>
    <row r="39" spans="1:10" x14ac:dyDescent="0.25">
      <c r="A39" t="str">
        <f>CoTwo[[#This Row],[Year]] &amp;"-"&amp;CoTwo[[#This Row],[State]]</f>
        <v>2024-France</v>
      </c>
      <c r="B39">
        <f>CoTwo[[#This Row],[CO2_Year]]+2</f>
        <v>2024</v>
      </c>
      <c r="C39" t="str">
        <f>PROPER(IFERROR(INDEX(StateNames[State],MATCH("CO2"&amp;CoTwo[[#This Row],[Year]]&amp;CoTwo[[#This Row],[STATE_UPPER]],StateNames[SNUID],0)),CoTwo[[#This Row],[STATE_UPPER]]))</f>
        <v>France</v>
      </c>
      <c r="D39">
        <v>2022</v>
      </c>
      <c r="E39" t="s">
        <v>48</v>
      </c>
      <c r="F39" s="11">
        <v>5461140.7021500003</v>
      </c>
      <c r="G39" s="11">
        <v>14659628.38995</v>
      </c>
      <c r="H39" s="20" t="s">
        <v>137</v>
      </c>
      <c r="I39" s="20">
        <v>45309.097916666666</v>
      </c>
      <c r="J39">
        <f>IFERROR(MATCH(CoTwo[[#This Row],[UID]],data[UID],0),0)</f>
        <v>38</v>
      </c>
    </row>
    <row r="40" spans="1:10" x14ac:dyDescent="0.25">
      <c r="A40" t="str">
        <f>CoTwo[[#This Row],[Year]] &amp;"-"&amp;CoTwo[[#This Row],[State]]</f>
        <v>2024-Germany</v>
      </c>
      <c r="B40">
        <f>CoTwo[[#This Row],[CO2_Year]]+2</f>
        <v>2024</v>
      </c>
      <c r="C40" t="str">
        <f>PROPER(IFERROR(INDEX(StateNames[State],MATCH("CO2"&amp;CoTwo[[#This Row],[Year]]&amp;CoTwo[[#This Row],[STATE_UPPER]],StateNames[SNUID],0)),CoTwo[[#This Row],[STATE_UPPER]]))</f>
        <v>Germany</v>
      </c>
      <c r="D40">
        <v>2022</v>
      </c>
      <c r="E40" t="s">
        <v>49</v>
      </c>
      <c r="F40" s="11">
        <v>6293848.4784000004</v>
      </c>
      <c r="G40" s="11">
        <v>22617042.74385</v>
      </c>
      <c r="H40" s="20" t="s">
        <v>137</v>
      </c>
      <c r="I40" s="20">
        <v>45309.097916666666</v>
      </c>
      <c r="J40">
        <f>IFERROR(MATCH(CoTwo[[#This Row],[UID]],data[UID],0),0)</f>
        <v>39</v>
      </c>
    </row>
    <row r="41" spans="1:10" x14ac:dyDescent="0.25">
      <c r="A41" t="str">
        <f>CoTwo[[#This Row],[Year]] &amp;"-"&amp;CoTwo[[#This Row],[State]]</f>
        <v>2024-Greece</v>
      </c>
      <c r="B41">
        <f>CoTwo[[#This Row],[CO2_Year]]+2</f>
        <v>2024</v>
      </c>
      <c r="C41" t="str">
        <f>PROPER(IFERROR(INDEX(StateNames[State],MATCH("CO2"&amp;CoTwo[[#This Row],[Year]]&amp;CoTwo[[#This Row],[STATE_UPPER]],StateNames[SNUID],0)),CoTwo[[#This Row],[STATE_UPPER]]))</f>
        <v>Greece</v>
      </c>
      <c r="D41">
        <v>2022</v>
      </c>
      <c r="E41" t="s">
        <v>50</v>
      </c>
      <c r="F41" s="11">
        <v>3415496.4396000002</v>
      </c>
      <c r="G41" s="11">
        <v>3914042.4759</v>
      </c>
      <c r="H41" s="20" t="s">
        <v>137</v>
      </c>
      <c r="I41" s="20">
        <v>45309.097916666666</v>
      </c>
      <c r="J41">
        <f>IFERROR(MATCH(CoTwo[[#This Row],[UID]],data[UID],0),0)</f>
        <v>40</v>
      </c>
    </row>
    <row r="42" spans="1:10" x14ac:dyDescent="0.25">
      <c r="A42" t="str">
        <f>CoTwo[[#This Row],[Year]] &amp;"-"&amp;CoTwo[[#This Row],[State]]</f>
        <v>2024-Iceland</v>
      </c>
      <c r="B42">
        <f>CoTwo[[#This Row],[CO2_Year]]+2</f>
        <v>2024</v>
      </c>
      <c r="C42" t="str">
        <f>PROPER(IFERROR(INDEX(StateNames[State],MATCH("CO2"&amp;CoTwo[[#This Row],[Year]]&amp;CoTwo[[#This Row],[STATE_UPPER]],StateNames[SNUID],0)),CoTwo[[#This Row],[STATE_UPPER]]))</f>
        <v>Iceland</v>
      </c>
      <c r="D42">
        <v>2022</v>
      </c>
      <c r="E42" t="s">
        <v>51</v>
      </c>
      <c r="F42" s="11">
        <v>422160.13309999998</v>
      </c>
      <c r="G42" s="11">
        <v>839485.45900000003</v>
      </c>
      <c r="H42" s="20" t="s">
        <v>137</v>
      </c>
      <c r="I42" s="20">
        <v>45309.097916666666</v>
      </c>
      <c r="J42">
        <f>IFERROR(MATCH(CoTwo[[#This Row],[UID]],data[UID],0),0)</f>
        <v>41</v>
      </c>
    </row>
    <row r="43" spans="1:10" x14ac:dyDescent="0.25">
      <c r="A43" t="str">
        <f>CoTwo[[#This Row],[Year]] &amp;"-"&amp;CoTwo[[#This Row],[State]]</f>
        <v>2024-Ireland</v>
      </c>
      <c r="B43">
        <f>CoTwo[[#This Row],[CO2_Year]]+2</f>
        <v>2024</v>
      </c>
      <c r="C43" t="str">
        <f>PROPER(IFERROR(INDEX(StateNames[State],MATCH("CO2"&amp;CoTwo[[#This Row],[Year]]&amp;CoTwo[[#This Row],[STATE_UPPER]],StateNames[SNUID],0)),CoTwo[[#This Row],[STATE_UPPER]]))</f>
        <v>Ireland</v>
      </c>
      <c r="D43">
        <v>2022</v>
      </c>
      <c r="E43" t="s">
        <v>52</v>
      </c>
      <c r="F43" s="11">
        <v>1290601.9759500001</v>
      </c>
      <c r="G43" s="11">
        <v>2772326.1415499998</v>
      </c>
      <c r="H43" s="20" t="s">
        <v>137</v>
      </c>
      <c r="I43" s="20">
        <v>45309.097916666666</v>
      </c>
      <c r="J43">
        <f>IFERROR(MATCH(CoTwo[[#This Row],[UID]],data[UID],0),0)</f>
        <v>42</v>
      </c>
    </row>
    <row r="44" spans="1:10" x14ac:dyDescent="0.25">
      <c r="A44" t="str">
        <f>CoTwo[[#This Row],[Year]] &amp;"-"&amp;CoTwo[[#This Row],[State]]</f>
        <v>2024-Italy</v>
      </c>
      <c r="B44">
        <f>CoTwo[[#This Row],[CO2_Year]]+2</f>
        <v>2024</v>
      </c>
      <c r="C44" t="str">
        <f>PROPER(IFERROR(INDEX(StateNames[State],MATCH("CO2"&amp;CoTwo[[#This Row],[Year]]&amp;CoTwo[[#This Row],[STATE_UPPER]],StateNames[SNUID],0)),CoTwo[[#This Row],[STATE_UPPER]]))</f>
        <v>Italy</v>
      </c>
      <c r="D44">
        <v>2022</v>
      </c>
      <c r="E44" t="s">
        <v>53</v>
      </c>
      <c r="F44" s="11">
        <v>6623533.9012500001</v>
      </c>
      <c r="G44" s="11">
        <v>8810552.7895</v>
      </c>
      <c r="H44" s="20" t="s">
        <v>137</v>
      </c>
      <c r="I44" s="20">
        <v>45309.097916666666</v>
      </c>
      <c r="J44">
        <f>IFERROR(MATCH(CoTwo[[#This Row],[UID]],data[UID],0),0)</f>
        <v>43</v>
      </c>
    </row>
    <row r="45" spans="1:10" x14ac:dyDescent="0.25">
      <c r="A45" t="str">
        <f>CoTwo[[#This Row],[Year]] &amp;"-"&amp;CoTwo[[#This Row],[State]]</f>
        <v>2024-Lithuania</v>
      </c>
      <c r="B45">
        <f>CoTwo[[#This Row],[CO2_Year]]+2</f>
        <v>2024</v>
      </c>
      <c r="C45" t="str">
        <f>PROPER(IFERROR(INDEX(StateNames[State],MATCH("CO2"&amp;CoTwo[[#This Row],[Year]]&amp;CoTwo[[#This Row],[STATE_UPPER]],StateNames[SNUID],0)),CoTwo[[#This Row],[STATE_UPPER]]))</f>
        <v>Lithuania</v>
      </c>
      <c r="D45">
        <v>2022</v>
      </c>
      <c r="E45" t="s">
        <v>54</v>
      </c>
      <c r="F45" s="11">
        <v>262641.90015</v>
      </c>
      <c r="G45" s="11">
        <v>347807.85155000002</v>
      </c>
      <c r="H45" s="20" t="s">
        <v>137</v>
      </c>
      <c r="I45" s="20">
        <v>45309.097916666666</v>
      </c>
      <c r="J45">
        <f>IFERROR(MATCH(CoTwo[[#This Row],[UID]],data[UID],0),0)</f>
        <v>44</v>
      </c>
    </row>
    <row r="46" spans="1:10" x14ac:dyDescent="0.25">
      <c r="A46" t="str">
        <f>CoTwo[[#This Row],[Year]] &amp;"-"&amp;CoTwo[[#This Row],[State]]</f>
        <v>2024-Luxembourg</v>
      </c>
      <c r="B46">
        <f>CoTwo[[#This Row],[CO2_Year]]+2</f>
        <v>2024</v>
      </c>
      <c r="C46" t="str">
        <f>PROPER(IFERROR(INDEX(StateNames[State],MATCH("CO2"&amp;CoTwo[[#This Row],[Year]]&amp;CoTwo[[#This Row],[STATE_UPPER]],StateNames[SNUID],0)),CoTwo[[#This Row],[STATE_UPPER]]))</f>
        <v>Luxembourg</v>
      </c>
      <c r="D46">
        <v>2022</v>
      </c>
      <c r="E46" t="s">
        <v>55</v>
      </c>
      <c r="F46" s="11">
        <v>206204.74244999999</v>
      </c>
      <c r="G46" s="11">
        <v>1894632.47385</v>
      </c>
      <c r="H46" s="20" t="s">
        <v>137</v>
      </c>
      <c r="I46" s="20">
        <v>45309.097916666666</v>
      </c>
      <c r="J46">
        <f>IFERROR(MATCH(CoTwo[[#This Row],[UID]],data[UID],0),0)</f>
        <v>45</v>
      </c>
    </row>
    <row r="47" spans="1:10" x14ac:dyDescent="0.25">
      <c r="A47" t="str">
        <f>CoTwo[[#This Row],[Year]] &amp;"-"&amp;CoTwo[[#This Row],[State]]</f>
        <v>2024-Malta</v>
      </c>
      <c r="B47">
        <f>CoTwo[[#This Row],[CO2_Year]]+2</f>
        <v>2024</v>
      </c>
      <c r="C47" t="str">
        <f>PROPER(IFERROR(INDEX(StateNames[State],MATCH("CO2"&amp;CoTwo[[#This Row],[Year]]&amp;CoTwo[[#This Row],[STATE_UPPER]],StateNames[SNUID],0)),CoTwo[[#This Row],[STATE_UPPER]]))</f>
        <v>Malta</v>
      </c>
      <c r="D47">
        <v>2022</v>
      </c>
      <c r="E47" t="s">
        <v>56</v>
      </c>
      <c r="F47" s="11">
        <v>336667.68764999998</v>
      </c>
      <c r="G47" s="11">
        <v>377563.81929999997</v>
      </c>
      <c r="H47" s="20" t="s">
        <v>137</v>
      </c>
      <c r="I47" s="20">
        <v>45309.097916666666</v>
      </c>
      <c r="J47">
        <f>IFERROR(MATCH(CoTwo[[#This Row],[UID]],data[UID],0),0)</f>
        <v>46</v>
      </c>
    </row>
    <row r="48" spans="1:10" x14ac:dyDescent="0.25">
      <c r="A48" t="str">
        <f>CoTwo[[#This Row],[Year]] &amp;"-"&amp;CoTwo[[#This Row],[State]]</f>
        <v>2024-Netherlands</v>
      </c>
      <c r="B48">
        <f>CoTwo[[#This Row],[CO2_Year]]+2</f>
        <v>2024</v>
      </c>
      <c r="C48" t="str">
        <f>PROPER(IFERROR(INDEX(StateNames[State],MATCH("CO2"&amp;CoTwo[[#This Row],[Year]]&amp;CoTwo[[#This Row],[STATE_UPPER]],StateNames[SNUID],0)),CoTwo[[#This Row],[STATE_UPPER]]))</f>
        <v>Netherlands</v>
      </c>
      <c r="D48">
        <v>2022</v>
      </c>
      <c r="E48" t="s">
        <v>57</v>
      </c>
      <c r="F48" s="11">
        <v>2088507.7426499999</v>
      </c>
      <c r="G48" s="11">
        <v>8815649.1642499994</v>
      </c>
      <c r="H48" s="20" t="s">
        <v>137</v>
      </c>
      <c r="I48" s="20">
        <v>45309.097916666666</v>
      </c>
      <c r="J48">
        <f>IFERROR(MATCH(CoTwo[[#This Row],[UID]],data[UID],0),0)</f>
        <v>47</v>
      </c>
    </row>
    <row r="49" spans="1:10" x14ac:dyDescent="0.25">
      <c r="A49" t="str">
        <f>CoTwo[[#This Row],[Year]] &amp;"-"&amp;CoTwo[[#This Row],[State]]</f>
        <v>2024-Norway</v>
      </c>
      <c r="B49">
        <f>CoTwo[[#This Row],[CO2_Year]]+2</f>
        <v>2024</v>
      </c>
      <c r="C49" t="str">
        <f>PROPER(IFERROR(INDEX(StateNames[State],MATCH("CO2"&amp;CoTwo[[#This Row],[Year]]&amp;CoTwo[[#This Row],[STATE_UPPER]],StateNames[SNUID],0)),CoTwo[[#This Row],[STATE_UPPER]]))</f>
        <v>Norway</v>
      </c>
      <c r="D49">
        <v>2022</v>
      </c>
      <c r="E49" t="s">
        <v>58</v>
      </c>
      <c r="F49" s="11">
        <v>1874259.5759999999</v>
      </c>
      <c r="G49" s="11">
        <v>1490401.1967499999</v>
      </c>
      <c r="H49" s="20" t="s">
        <v>137</v>
      </c>
      <c r="I49" s="20">
        <v>45309.097916666666</v>
      </c>
      <c r="J49">
        <f>IFERROR(MATCH(CoTwo[[#This Row],[UID]],data[UID],0),0)</f>
        <v>48</v>
      </c>
    </row>
    <row r="50" spans="1:10" x14ac:dyDescent="0.25">
      <c r="A50" t="str">
        <f>CoTwo[[#This Row],[Year]] &amp;"-"&amp;CoTwo[[#This Row],[State]]</f>
        <v>2024-Portugal</v>
      </c>
      <c r="B50">
        <f>CoTwo[[#This Row],[CO2_Year]]+2</f>
        <v>2024</v>
      </c>
      <c r="C50" t="str">
        <f>PROPER(IFERROR(INDEX(StateNames[State],MATCH("CO2"&amp;CoTwo[[#This Row],[Year]]&amp;CoTwo[[#This Row],[STATE_UPPER]],StateNames[SNUID],0)),CoTwo[[#This Row],[STATE_UPPER]]))</f>
        <v>Portugal</v>
      </c>
      <c r="D50">
        <v>2022</v>
      </c>
      <c r="E50" t="s">
        <v>59</v>
      </c>
      <c r="F50" s="11">
        <v>2275539.8462999999</v>
      </c>
      <c r="G50" s="11">
        <v>4193819.7765000002</v>
      </c>
      <c r="H50" s="20" t="s">
        <v>137</v>
      </c>
      <c r="I50" s="20">
        <v>45309.097916666666</v>
      </c>
      <c r="J50">
        <f>IFERROR(MATCH(CoTwo[[#This Row],[UID]],data[UID],0),0)</f>
        <v>49</v>
      </c>
    </row>
    <row r="51" spans="1:10" x14ac:dyDescent="0.25">
      <c r="A51" t="str">
        <f>CoTwo[[#This Row],[Year]] &amp;"-"&amp;CoTwo[[#This Row],[State]]</f>
        <v>2024-Romania</v>
      </c>
      <c r="B51">
        <f>CoTwo[[#This Row],[CO2_Year]]+2</f>
        <v>2024</v>
      </c>
      <c r="C51" t="str">
        <f>PROPER(IFERROR(INDEX(StateNames[State],MATCH("CO2"&amp;CoTwo[[#This Row],[Year]]&amp;CoTwo[[#This Row],[STATE_UPPER]],StateNames[SNUID],0)),CoTwo[[#This Row],[STATE_UPPER]]))</f>
        <v>Romania</v>
      </c>
      <c r="D51">
        <v>2022</v>
      </c>
      <c r="E51" t="s">
        <v>60</v>
      </c>
      <c r="F51" s="11">
        <v>1033713.30195</v>
      </c>
      <c r="G51" s="11">
        <v>1190729.9697499999</v>
      </c>
      <c r="H51" s="20" t="s">
        <v>137</v>
      </c>
      <c r="I51" s="20">
        <v>45309.097916666666</v>
      </c>
      <c r="J51">
        <f>IFERROR(MATCH(CoTwo[[#This Row],[UID]],data[UID],0),0)</f>
        <v>50</v>
      </c>
    </row>
    <row r="52" spans="1:10" x14ac:dyDescent="0.25">
      <c r="A52" t="str">
        <f>CoTwo[[#This Row],[Year]] &amp;"-"&amp;CoTwo[[#This Row],[State]]</f>
        <v>2024-Slovakia</v>
      </c>
      <c r="B52">
        <f>CoTwo[[#This Row],[CO2_Year]]+2</f>
        <v>2024</v>
      </c>
      <c r="C52" t="str">
        <f>PROPER(IFERROR(INDEX(StateNames[State],MATCH("CO2"&amp;CoTwo[[#This Row],[Year]]&amp;CoTwo[[#This Row],[STATE_UPPER]],StateNames[SNUID],0)),CoTwo[[#This Row],[STATE_UPPER]]))</f>
        <v>Slovakia</v>
      </c>
      <c r="D52">
        <v>2022</v>
      </c>
      <c r="E52" t="s">
        <v>79</v>
      </c>
      <c r="F52" s="11">
        <v>84148.410149999996</v>
      </c>
      <c r="G52" s="11">
        <v>127309.9041</v>
      </c>
      <c r="H52" s="20" t="s">
        <v>137</v>
      </c>
      <c r="I52" s="20">
        <v>45309.097916666666</v>
      </c>
      <c r="J52">
        <f>IFERROR(MATCH(CoTwo[[#This Row],[UID]],data[UID],0),0)</f>
        <v>51</v>
      </c>
    </row>
    <row r="53" spans="1:10" x14ac:dyDescent="0.25">
      <c r="A53" t="str">
        <f>CoTwo[[#This Row],[Year]] &amp;"-"&amp;CoTwo[[#This Row],[State]]</f>
        <v>2024-Slovenia</v>
      </c>
      <c r="B53">
        <f>CoTwo[[#This Row],[CO2_Year]]+2</f>
        <v>2024</v>
      </c>
      <c r="C53" t="str">
        <f>PROPER(IFERROR(INDEX(StateNames[State],MATCH("CO2"&amp;CoTwo[[#This Row],[Year]]&amp;CoTwo[[#This Row],[STATE_UPPER]],StateNames[SNUID],0)),CoTwo[[#This Row],[STATE_UPPER]]))</f>
        <v>Slovenia</v>
      </c>
      <c r="D53">
        <v>2022</v>
      </c>
      <c r="E53" t="s">
        <v>61</v>
      </c>
      <c r="F53" s="11">
        <v>41235.289199999999</v>
      </c>
      <c r="G53" s="11">
        <v>73343.196949999998</v>
      </c>
      <c r="H53" s="20" t="s">
        <v>137</v>
      </c>
      <c r="I53" s="20">
        <v>45309.097916666666</v>
      </c>
      <c r="J53">
        <f>IFERROR(MATCH(CoTwo[[#This Row],[UID]],data[UID],0),0)</f>
        <v>52</v>
      </c>
    </row>
    <row r="54" spans="1:10" x14ac:dyDescent="0.25">
      <c r="A54" t="str">
        <f>CoTwo[[#This Row],[Year]] &amp;"-"&amp;CoTwo[[#This Row],[State]]</f>
        <v>2024-Spain</v>
      </c>
      <c r="B54">
        <f>CoTwo[[#This Row],[CO2_Year]]+2</f>
        <v>2024</v>
      </c>
      <c r="C54" t="str">
        <f>PROPER(IFERROR(INDEX(StateNames[State],MATCH("CO2"&amp;CoTwo[[#This Row],[Year]]&amp;CoTwo[[#This Row],[STATE_UPPER]],StateNames[SNUID],0)),CoTwo[[#This Row],[STATE_UPPER]]))</f>
        <v>Spain</v>
      </c>
      <c r="D54">
        <v>2022</v>
      </c>
      <c r="E54" t="s">
        <v>62</v>
      </c>
      <c r="F54" s="11">
        <v>8260405.5397500005</v>
      </c>
      <c r="G54" s="11">
        <v>15246497.447799999</v>
      </c>
      <c r="H54" s="20" t="s">
        <v>137</v>
      </c>
      <c r="I54" s="20">
        <v>45309.097916666666</v>
      </c>
      <c r="J54">
        <f>IFERROR(MATCH(CoTwo[[#This Row],[UID]],data[UID],0),0)</f>
        <v>53</v>
      </c>
    </row>
    <row r="55" spans="1:10" x14ac:dyDescent="0.25">
      <c r="A55" t="str">
        <f>CoTwo[[#This Row],[Year]] &amp;"-"&amp;CoTwo[[#This Row],[State]]</f>
        <v>2024-Sweden</v>
      </c>
      <c r="B55">
        <f>CoTwo[[#This Row],[CO2_Year]]+2</f>
        <v>2024</v>
      </c>
      <c r="C55" t="str">
        <f>PROPER(IFERROR(INDEX(StateNames[State],MATCH("CO2"&amp;CoTwo[[#This Row],[Year]]&amp;CoTwo[[#This Row],[STATE_UPPER]],StateNames[SNUID],0)),CoTwo[[#This Row],[STATE_UPPER]]))</f>
        <v>Sweden</v>
      </c>
      <c r="D55">
        <v>2022</v>
      </c>
      <c r="E55" t="s">
        <v>63</v>
      </c>
      <c r="F55" s="11">
        <v>1364008.0576500001</v>
      </c>
      <c r="G55" s="11">
        <v>1794172.3637999999</v>
      </c>
      <c r="H55" s="20" t="s">
        <v>137</v>
      </c>
      <c r="I55" s="20">
        <v>45309.097916666666</v>
      </c>
      <c r="J55">
        <f>IFERROR(MATCH(CoTwo[[#This Row],[UID]],data[UID],0),0)</f>
        <v>54</v>
      </c>
    </row>
    <row r="56" spans="1:10" x14ac:dyDescent="0.25">
      <c r="A56" t="str">
        <f>CoTwo[[#This Row],[Year]] &amp;"-"&amp;CoTwo[[#This Row],[State]]</f>
        <v>2024-Switzerland</v>
      </c>
      <c r="B56">
        <f>CoTwo[[#This Row],[CO2_Year]]+2</f>
        <v>2024</v>
      </c>
      <c r="C56" t="str">
        <f>PROPER(IFERROR(INDEX(StateNames[State],MATCH("CO2"&amp;CoTwo[[#This Row],[Year]]&amp;CoTwo[[#This Row],[STATE_UPPER]],StateNames[SNUID],0)),CoTwo[[#This Row],[STATE_UPPER]]))</f>
        <v>Switzerland</v>
      </c>
      <c r="D56">
        <v>2022</v>
      </c>
      <c r="E56" t="s">
        <v>64</v>
      </c>
      <c r="F56" s="11">
        <v>1145599.4560499999</v>
      </c>
      <c r="G56" s="11">
        <v>4237563.1277999999</v>
      </c>
      <c r="H56" s="20" t="s">
        <v>137</v>
      </c>
      <c r="I56" s="20">
        <v>45309.097916666666</v>
      </c>
      <c r="J56">
        <f>IFERROR(MATCH(CoTwo[[#This Row],[UID]],data[UID],0),0)</f>
        <v>55</v>
      </c>
    </row>
    <row r="57" spans="1:10" x14ac:dyDescent="0.25">
      <c r="A57" t="str">
        <f>CoTwo[[#This Row],[Year]] &amp;"-"&amp;CoTwo[[#This Row],[State]]</f>
        <v>2024-United Kingdom</v>
      </c>
      <c r="B57">
        <f>CoTwo[[#This Row],[CO2_Year]]+2</f>
        <v>2024</v>
      </c>
      <c r="C57" t="str">
        <f>PROPER(IFERROR(INDEX(StateNames[State],MATCH("CO2"&amp;CoTwo[[#This Row],[Year]]&amp;CoTwo[[#This Row],[STATE_UPPER]],StateNames[SNUID],0)),CoTwo[[#This Row],[STATE_UPPER]]))</f>
        <v>United Kingdom</v>
      </c>
      <c r="D57">
        <v>2022</v>
      </c>
      <c r="E57" t="s">
        <v>65</v>
      </c>
      <c r="F57" s="11">
        <v>8144130.3583500003</v>
      </c>
      <c r="G57" s="11">
        <v>26039303.994800001</v>
      </c>
      <c r="H57" s="20" t="s">
        <v>137</v>
      </c>
      <c r="I57" s="20">
        <v>45309.097916666666</v>
      </c>
      <c r="J57">
        <f>IFERROR(MATCH(CoTwo[[#This Row],[UID]],data[UID],0),0)</f>
        <v>56</v>
      </c>
    </row>
    <row r="58" spans="1:10" x14ac:dyDescent="0.25">
      <c r="A58" t="str">
        <f>CoTwo[[#This Row],[Year]] &amp;"-"&amp;CoTwo[[#This Row],[State]]</f>
        <v>2025-Austria</v>
      </c>
      <c r="B58">
        <f>CoTwo[[#This Row],[CO2_Year]]+2</f>
        <v>2025</v>
      </c>
      <c r="C58" t="str">
        <f>PROPER(IFERROR(INDEX(StateNames[State],MATCH("CO2"&amp;CoTwo[[#This Row],[Year]]&amp;CoTwo[[#This Row],[STATE_UPPER]],StateNames[SNUID],0)),CoTwo[[#This Row],[STATE_UPPER]]))</f>
        <v>Austria</v>
      </c>
      <c r="D58">
        <v>2023</v>
      </c>
      <c r="E58" t="s">
        <v>40</v>
      </c>
      <c r="F58" s="11">
        <v>1208462.1198499999</v>
      </c>
      <c r="G58" s="11">
        <v>2513773.0064500002</v>
      </c>
      <c r="H58" s="20" t="s">
        <v>137</v>
      </c>
      <c r="I58" s="20">
        <v>45635.481944444444</v>
      </c>
      <c r="J58">
        <f>IFERROR(MATCH(CoTwo[[#This Row],[UID]],data[UID],0),0)</f>
        <v>57</v>
      </c>
    </row>
    <row r="59" spans="1:10" x14ac:dyDescent="0.25">
      <c r="A59" t="str">
        <f>CoTwo[[#This Row],[Year]] &amp;"-"&amp;CoTwo[[#This Row],[State]]</f>
        <v>2025-Belgium</v>
      </c>
      <c r="B59">
        <f>CoTwo[[#This Row],[CO2_Year]]+2</f>
        <v>2025</v>
      </c>
      <c r="C59" t="str">
        <f>PROPER(IFERROR(INDEX(StateNames[State],MATCH("CO2"&amp;CoTwo[[#This Row],[Year]]&amp;CoTwo[[#This Row],[STATE_UPPER]],StateNames[SNUID],0)),CoTwo[[#This Row],[STATE_UPPER]]))</f>
        <v>Belgium</v>
      </c>
      <c r="D59">
        <v>2023</v>
      </c>
      <c r="E59" t="s">
        <v>41</v>
      </c>
      <c r="F59" s="11">
        <v>1336423.6052999999</v>
      </c>
      <c r="G59" s="11">
        <v>4943561.1359000001</v>
      </c>
      <c r="H59" s="20" t="s">
        <v>137</v>
      </c>
      <c r="I59" s="20">
        <v>45635.481944444444</v>
      </c>
      <c r="J59">
        <f>IFERROR(MATCH(CoTwo[[#This Row],[UID]],data[UID],0),0)</f>
        <v>58</v>
      </c>
    </row>
    <row r="60" spans="1:10" x14ac:dyDescent="0.25">
      <c r="A60" t="str">
        <f>CoTwo[[#This Row],[Year]] &amp;"-"&amp;CoTwo[[#This Row],[State]]</f>
        <v>2025-Bulgaria</v>
      </c>
      <c r="B60">
        <f>CoTwo[[#This Row],[CO2_Year]]+2</f>
        <v>2025</v>
      </c>
      <c r="C60" t="str">
        <f>PROPER(IFERROR(INDEX(StateNames[State],MATCH("CO2"&amp;CoTwo[[#This Row],[Year]]&amp;CoTwo[[#This Row],[STATE_UPPER]],StateNames[SNUID],0)),CoTwo[[#This Row],[STATE_UPPER]]))</f>
        <v>Bulgaria</v>
      </c>
      <c r="D60">
        <v>2023</v>
      </c>
      <c r="E60" t="s">
        <v>42</v>
      </c>
      <c r="F60" s="11">
        <v>554882.20200000005</v>
      </c>
      <c r="G60" s="11">
        <v>687803.28255</v>
      </c>
      <c r="H60" s="20" t="s">
        <v>137</v>
      </c>
      <c r="I60" s="20">
        <v>45635.481944444444</v>
      </c>
      <c r="J60">
        <f>IFERROR(MATCH(CoTwo[[#This Row],[UID]],data[UID],0),0)</f>
        <v>59</v>
      </c>
    </row>
    <row r="61" spans="1:10" x14ac:dyDescent="0.25">
      <c r="A61" t="str">
        <f>CoTwo[[#This Row],[Year]] &amp;"-"&amp;CoTwo[[#This Row],[State]]</f>
        <v>2025-Croatia</v>
      </c>
      <c r="B61">
        <f>CoTwo[[#This Row],[CO2_Year]]+2</f>
        <v>2025</v>
      </c>
      <c r="C61" t="str">
        <f>PROPER(IFERROR(INDEX(StateNames[State],MATCH("CO2"&amp;CoTwo[[#This Row],[Year]]&amp;CoTwo[[#This Row],[STATE_UPPER]],StateNames[SNUID],0)),CoTwo[[#This Row],[STATE_UPPER]]))</f>
        <v>Croatia</v>
      </c>
      <c r="D61">
        <v>2023</v>
      </c>
      <c r="E61" t="s">
        <v>43</v>
      </c>
      <c r="F61" s="11">
        <v>521711.24985000002</v>
      </c>
      <c r="G61" s="11">
        <v>581650.37925</v>
      </c>
      <c r="H61" s="20" t="s">
        <v>137</v>
      </c>
      <c r="I61" s="20">
        <v>45635.481944444444</v>
      </c>
      <c r="J61">
        <f>IFERROR(MATCH(CoTwo[[#This Row],[UID]],data[UID],0),0)</f>
        <v>60</v>
      </c>
    </row>
    <row r="62" spans="1:10" x14ac:dyDescent="0.25">
      <c r="A62" t="str">
        <f>CoTwo[[#This Row],[Year]] &amp;"-"&amp;CoTwo[[#This Row],[State]]</f>
        <v>2025-Cyprus</v>
      </c>
      <c r="B62">
        <f>CoTwo[[#This Row],[CO2_Year]]+2</f>
        <v>2025</v>
      </c>
      <c r="C62" t="str">
        <f>PROPER(IFERROR(INDEX(StateNames[State],MATCH("CO2"&amp;CoTwo[[#This Row],[Year]]&amp;CoTwo[[#This Row],[STATE_UPPER]],StateNames[SNUID],0)),CoTwo[[#This Row],[STATE_UPPER]]))</f>
        <v>Cyprus</v>
      </c>
      <c r="D62">
        <v>2023</v>
      </c>
      <c r="E62" t="s">
        <v>44</v>
      </c>
      <c r="F62" s="11">
        <v>769070.87144999998</v>
      </c>
      <c r="G62" s="11">
        <v>930455.66879999998</v>
      </c>
      <c r="H62" s="20" t="s">
        <v>137</v>
      </c>
      <c r="I62" s="20">
        <v>45635.481944444444</v>
      </c>
      <c r="J62">
        <f>IFERROR(MATCH(CoTwo[[#This Row],[UID]],data[UID],0),0)</f>
        <v>61</v>
      </c>
    </row>
    <row r="63" spans="1:10" x14ac:dyDescent="0.25">
      <c r="A63" t="str">
        <f>CoTwo[[#This Row],[Year]] &amp;"-"&amp;CoTwo[[#This Row],[State]]</f>
        <v>2025-Czech Republic</v>
      </c>
      <c r="B63">
        <f>CoTwo[[#This Row],[CO2_Year]]+2</f>
        <v>2025</v>
      </c>
      <c r="C63" t="str">
        <f>PROPER(IFERROR(INDEX(StateNames[State],MATCH("CO2"&amp;CoTwo[[#This Row],[Year]]&amp;CoTwo[[#This Row],[STATE_UPPER]],StateNames[SNUID],0)),CoTwo[[#This Row],[STATE_UPPER]]))</f>
        <v>Czech Republic</v>
      </c>
      <c r="D63">
        <v>2023</v>
      </c>
      <c r="E63" t="s">
        <v>138</v>
      </c>
      <c r="F63" s="11">
        <v>524044.51785</v>
      </c>
      <c r="G63" s="11">
        <v>1025606.4928</v>
      </c>
      <c r="H63" s="20" t="s">
        <v>137</v>
      </c>
      <c r="I63" s="20">
        <v>45635.481944444444</v>
      </c>
      <c r="J63">
        <f>IFERROR(MATCH(CoTwo[[#This Row],[UID]],data[UID],0),0)</f>
        <v>62</v>
      </c>
    </row>
    <row r="64" spans="1:10" x14ac:dyDescent="0.25">
      <c r="A64" t="str">
        <f>CoTwo[[#This Row],[Year]] &amp;"-"&amp;CoTwo[[#This Row],[State]]</f>
        <v>2025-Denmark</v>
      </c>
      <c r="B64">
        <f>CoTwo[[#This Row],[CO2_Year]]+2</f>
        <v>2025</v>
      </c>
      <c r="C64" t="str">
        <f>PROPER(IFERROR(INDEX(StateNames[State],MATCH("CO2"&amp;CoTwo[[#This Row],[Year]]&amp;CoTwo[[#This Row],[STATE_UPPER]],StateNames[SNUID],0)),CoTwo[[#This Row],[STATE_UPPER]]))</f>
        <v>Denmark</v>
      </c>
      <c r="D64">
        <v>2023</v>
      </c>
      <c r="E64" t="s">
        <v>45</v>
      </c>
      <c r="F64" s="11">
        <v>1326590.0266499999</v>
      </c>
      <c r="G64" s="11">
        <v>2430379.5893999999</v>
      </c>
      <c r="H64" s="20" t="s">
        <v>137</v>
      </c>
      <c r="I64" s="20">
        <v>45635.481944444444</v>
      </c>
      <c r="J64">
        <f>IFERROR(MATCH(CoTwo[[#This Row],[UID]],data[UID],0),0)</f>
        <v>63</v>
      </c>
    </row>
    <row r="65" spans="1:10" x14ac:dyDescent="0.25">
      <c r="A65" t="str">
        <f>CoTwo[[#This Row],[Year]] &amp;"-"&amp;CoTwo[[#This Row],[State]]</f>
        <v>2025-Estonia</v>
      </c>
      <c r="B65">
        <f>CoTwo[[#This Row],[CO2_Year]]+2</f>
        <v>2025</v>
      </c>
      <c r="C65" t="str">
        <f>PROPER(IFERROR(INDEX(StateNames[State],MATCH("CO2"&amp;CoTwo[[#This Row],[Year]]&amp;CoTwo[[#This Row],[STATE_UPPER]],StateNames[SNUID],0)),CoTwo[[#This Row],[STATE_UPPER]]))</f>
        <v>Estonia</v>
      </c>
      <c r="D65">
        <v>2023</v>
      </c>
      <c r="E65" t="s">
        <v>46</v>
      </c>
      <c r="F65" s="11">
        <v>125432.56215</v>
      </c>
      <c r="G65" s="11">
        <v>173591.55004999999</v>
      </c>
      <c r="H65" s="20" t="s">
        <v>137</v>
      </c>
      <c r="I65" s="20">
        <v>45635.481944444444</v>
      </c>
      <c r="J65">
        <f>IFERROR(MATCH(CoTwo[[#This Row],[UID]],data[UID],0),0)</f>
        <v>64</v>
      </c>
    </row>
    <row r="66" spans="1:10" x14ac:dyDescent="0.25">
      <c r="A66" t="str">
        <f>CoTwo[[#This Row],[Year]] &amp;"-"&amp;CoTwo[[#This Row],[State]]</f>
        <v>2025-Finland</v>
      </c>
      <c r="B66">
        <f>CoTwo[[#This Row],[CO2_Year]]+2</f>
        <v>2025</v>
      </c>
      <c r="C66" t="str">
        <f>PROPER(IFERROR(INDEX(StateNames[State],MATCH("CO2"&amp;CoTwo[[#This Row],[Year]]&amp;CoTwo[[#This Row],[STATE_UPPER]],StateNames[SNUID],0)),CoTwo[[#This Row],[STATE_UPPER]]))</f>
        <v>Finland</v>
      </c>
      <c r="D66">
        <v>2023</v>
      </c>
      <c r="E66" t="s">
        <v>47</v>
      </c>
      <c r="F66" s="11">
        <v>974813.74829999998</v>
      </c>
      <c r="G66" s="11">
        <v>1932743.2337</v>
      </c>
      <c r="H66" s="20" t="s">
        <v>137</v>
      </c>
      <c r="I66" s="20">
        <v>45635.481944444444</v>
      </c>
      <c r="J66">
        <f>IFERROR(MATCH(CoTwo[[#This Row],[UID]],data[UID],0),0)</f>
        <v>65</v>
      </c>
    </row>
    <row r="67" spans="1:10" x14ac:dyDescent="0.25">
      <c r="A67" t="str">
        <f>CoTwo[[#This Row],[Year]] &amp;"-"&amp;CoTwo[[#This Row],[State]]</f>
        <v>2025-France</v>
      </c>
      <c r="B67">
        <f>CoTwo[[#This Row],[CO2_Year]]+2</f>
        <v>2025</v>
      </c>
      <c r="C67" t="str">
        <f>PROPER(IFERROR(INDEX(StateNames[State],MATCH("CO2"&amp;CoTwo[[#This Row],[Year]]&amp;CoTwo[[#This Row],[STATE_UPPER]],StateNames[SNUID],0)),CoTwo[[#This Row],[STATE_UPPER]]))</f>
        <v>France</v>
      </c>
      <c r="D67">
        <v>2023</v>
      </c>
      <c r="E67" t="s">
        <v>48</v>
      </c>
      <c r="F67" s="11">
        <v>5736410.4262499996</v>
      </c>
      <c r="G67" s="11">
        <v>17274511.772999998</v>
      </c>
      <c r="H67" s="20" t="s">
        <v>137</v>
      </c>
      <c r="I67" s="20">
        <v>45635.481944444444</v>
      </c>
      <c r="J67">
        <f>IFERROR(MATCH(CoTwo[[#This Row],[UID]],data[UID],0),0)</f>
        <v>66</v>
      </c>
    </row>
    <row r="68" spans="1:10" x14ac:dyDescent="0.25">
      <c r="A68" t="str">
        <f>CoTwo[[#This Row],[Year]] &amp;"-"&amp;CoTwo[[#This Row],[State]]</f>
        <v>2025-Germany</v>
      </c>
      <c r="B68">
        <f>CoTwo[[#This Row],[CO2_Year]]+2</f>
        <v>2025</v>
      </c>
      <c r="C68" t="str">
        <f>PROPER(IFERROR(INDEX(StateNames[State],MATCH("CO2"&amp;CoTwo[[#This Row],[Year]]&amp;CoTwo[[#This Row],[STATE_UPPER]],StateNames[SNUID],0)),CoTwo[[#This Row],[STATE_UPPER]]))</f>
        <v>Germany</v>
      </c>
      <c r="D68">
        <v>2023</v>
      </c>
      <c r="E68" t="s">
        <v>49</v>
      </c>
      <c r="F68" s="11">
        <v>6713677.3838499999</v>
      </c>
      <c r="G68" s="11">
        <v>24917383.57945</v>
      </c>
      <c r="H68" s="20" t="s">
        <v>137</v>
      </c>
      <c r="I68" s="20">
        <v>45635.481944444444</v>
      </c>
      <c r="J68">
        <f>IFERROR(MATCH(CoTwo[[#This Row],[UID]],data[UID],0),0)</f>
        <v>67</v>
      </c>
    </row>
    <row r="69" spans="1:10" x14ac:dyDescent="0.25">
      <c r="A69" t="str">
        <f>CoTwo[[#This Row],[Year]] &amp;"-"&amp;CoTwo[[#This Row],[State]]</f>
        <v>2025-Greece</v>
      </c>
      <c r="B69">
        <f>CoTwo[[#This Row],[CO2_Year]]+2</f>
        <v>2025</v>
      </c>
      <c r="C69" t="str">
        <f>PROPER(IFERROR(INDEX(StateNames[State],MATCH("CO2"&amp;CoTwo[[#This Row],[Year]]&amp;CoTwo[[#This Row],[STATE_UPPER]],StateNames[SNUID],0)),CoTwo[[#This Row],[STATE_UPPER]]))</f>
        <v>Greece</v>
      </c>
      <c r="D69">
        <v>2023</v>
      </c>
      <c r="E69" t="s">
        <v>50</v>
      </c>
      <c r="F69" s="11">
        <v>3567374.4707999998</v>
      </c>
      <c r="G69" s="11">
        <v>4162302.3646999998</v>
      </c>
      <c r="H69" s="20" t="s">
        <v>137</v>
      </c>
      <c r="I69" s="20">
        <v>45635.481944444444</v>
      </c>
      <c r="J69">
        <f>IFERROR(MATCH(CoTwo[[#This Row],[UID]],data[UID],0),0)</f>
        <v>68</v>
      </c>
    </row>
    <row r="70" spans="1:10" x14ac:dyDescent="0.25">
      <c r="A70" t="str">
        <f>CoTwo[[#This Row],[Year]] &amp;"-"&amp;CoTwo[[#This Row],[State]]</f>
        <v>2025-Iceland</v>
      </c>
      <c r="B70">
        <f>CoTwo[[#This Row],[CO2_Year]]+2</f>
        <v>2025</v>
      </c>
      <c r="C70" t="str">
        <f>PROPER(IFERROR(INDEX(StateNames[State],MATCH("CO2"&amp;CoTwo[[#This Row],[Year]]&amp;CoTwo[[#This Row],[STATE_UPPER]],StateNames[SNUID],0)),CoTwo[[#This Row],[STATE_UPPER]]))</f>
        <v>Iceland</v>
      </c>
      <c r="D70">
        <v>2023</v>
      </c>
      <c r="E70" t="s">
        <v>51</v>
      </c>
      <c r="F70" s="11">
        <v>495405.74790000002</v>
      </c>
      <c r="G70" s="11">
        <v>979507.98505000002</v>
      </c>
      <c r="H70" s="20" t="s">
        <v>137</v>
      </c>
      <c r="I70" s="20">
        <v>45635.481944444444</v>
      </c>
      <c r="J70">
        <f>IFERROR(MATCH(CoTwo[[#This Row],[UID]],data[UID],0),0)</f>
        <v>69</v>
      </c>
    </row>
    <row r="71" spans="1:10" x14ac:dyDescent="0.25">
      <c r="A71" t="str">
        <f>CoTwo[[#This Row],[Year]] &amp;"-"&amp;CoTwo[[#This Row],[State]]</f>
        <v>2025-Ireland</v>
      </c>
      <c r="B71">
        <f>CoTwo[[#This Row],[CO2_Year]]+2</f>
        <v>2025</v>
      </c>
      <c r="C71" t="str">
        <f>PROPER(IFERROR(INDEX(StateNames[State],MATCH("CO2"&amp;CoTwo[[#This Row],[Year]]&amp;CoTwo[[#This Row],[STATE_UPPER]],StateNames[SNUID],0)),CoTwo[[#This Row],[STATE_UPPER]]))</f>
        <v>Ireland</v>
      </c>
      <c r="D71">
        <v>2023</v>
      </c>
      <c r="E71" t="s">
        <v>52</v>
      </c>
      <c r="F71" s="11">
        <v>1435323.66705</v>
      </c>
      <c r="G71" s="11">
        <v>3159348.17625</v>
      </c>
      <c r="H71" s="20" t="s">
        <v>137</v>
      </c>
      <c r="I71" s="20">
        <v>45635.481944444444</v>
      </c>
      <c r="J71">
        <f>IFERROR(MATCH(CoTwo[[#This Row],[UID]],data[UID],0),0)</f>
        <v>70</v>
      </c>
    </row>
    <row r="72" spans="1:10" x14ac:dyDescent="0.25">
      <c r="A72" t="str">
        <f>CoTwo[[#This Row],[Year]] &amp;"-"&amp;CoTwo[[#This Row],[State]]</f>
        <v>2025-Italy</v>
      </c>
      <c r="B72">
        <f>CoTwo[[#This Row],[CO2_Year]]+2</f>
        <v>2025</v>
      </c>
      <c r="C72" t="str">
        <f>PROPER(IFERROR(INDEX(StateNames[State],MATCH("CO2"&amp;CoTwo[[#This Row],[Year]]&amp;CoTwo[[#This Row],[STATE_UPPER]],StateNames[SNUID],0)),CoTwo[[#This Row],[STATE_UPPER]]))</f>
        <v>Italy</v>
      </c>
      <c r="D72">
        <v>2023</v>
      </c>
      <c r="E72" t="s">
        <v>53</v>
      </c>
      <c r="F72" s="11">
        <v>7104243.0440499997</v>
      </c>
      <c r="G72" s="11">
        <v>11047337.88745</v>
      </c>
      <c r="H72" s="20" t="s">
        <v>137</v>
      </c>
      <c r="I72" s="20">
        <v>45635.481944444444</v>
      </c>
      <c r="J72">
        <f>IFERROR(MATCH(CoTwo[[#This Row],[UID]],data[UID],0),0)</f>
        <v>71</v>
      </c>
    </row>
    <row r="73" spans="1:10" x14ac:dyDescent="0.25">
      <c r="A73" t="str">
        <f>CoTwo[[#This Row],[Year]] &amp;"-"&amp;CoTwo[[#This Row],[State]]</f>
        <v>2025-Lithuania</v>
      </c>
      <c r="B73">
        <f>CoTwo[[#This Row],[CO2_Year]]+2</f>
        <v>2025</v>
      </c>
      <c r="C73" t="str">
        <f>PROPER(IFERROR(INDEX(StateNames[State],MATCH("CO2"&amp;CoTwo[[#This Row],[Year]]&amp;CoTwo[[#This Row],[STATE_UPPER]],StateNames[SNUID],0)),CoTwo[[#This Row],[STATE_UPPER]]))</f>
        <v>Lithuania</v>
      </c>
      <c r="D73">
        <v>2023</v>
      </c>
      <c r="E73" t="s">
        <v>54</v>
      </c>
      <c r="F73" s="11">
        <v>266406.49979999999</v>
      </c>
      <c r="G73" s="11">
        <v>369517.33954999998</v>
      </c>
      <c r="H73" s="20" t="s">
        <v>137</v>
      </c>
      <c r="I73" s="20">
        <v>45635.481944444444</v>
      </c>
      <c r="J73">
        <f>IFERROR(MATCH(CoTwo[[#This Row],[UID]],data[UID],0),0)</f>
        <v>72</v>
      </c>
    </row>
    <row r="74" spans="1:10" x14ac:dyDescent="0.25">
      <c r="A74" t="str">
        <f>CoTwo[[#This Row],[Year]] &amp;"-"&amp;CoTwo[[#This Row],[State]]</f>
        <v>2025-Luxembourg</v>
      </c>
      <c r="B74">
        <f>CoTwo[[#This Row],[CO2_Year]]+2</f>
        <v>2025</v>
      </c>
      <c r="C74" t="str">
        <f>PROPER(IFERROR(INDEX(StateNames[State],MATCH("CO2"&amp;CoTwo[[#This Row],[Year]]&amp;CoTwo[[#This Row],[STATE_UPPER]],StateNames[SNUID],0)),CoTwo[[#This Row],[STATE_UPPER]]))</f>
        <v>Luxembourg</v>
      </c>
      <c r="D74">
        <v>2023</v>
      </c>
      <c r="E74" t="s">
        <v>55</v>
      </c>
      <c r="F74" s="11">
        <v>221926.59405000001</v>
      </c>
      <c r="G74" s="11">
        <v>1773174.3649500001</v>
      </c>
      <c r="H74" s="20" t="s">
        <v>137</v>
      </c>
      <c r="I74" s="20">
        <v>45635.481944444444</v>
      </c>
      <c r="J74">
        <f>IFERROR(MATCH(CoTwo[[#This Row],[UID]],data[UID],0),0)</f>
        <v>73</v>
      </c>
    </row>
    <row r="75" spans="1:10" x14ac:dyDescent="0.25">
      <c r="A75" t="str">
        <f>CoTwo[[#This Row],[Year]] &amp;"-"&amp;CoTwo[[#This Row],[State]]</f>
        <v>2025-Malta</v>
      </c>
      <c r="B75">
        <f>CoTwo[[#This Row],[CO2_Year]]+2</f>
        <v>2025</v>
      </c>
      <c r="C75" t="str">
        <f>PROPER(IFERROR(INDEX(StateNames[State],MATCH("CO2"&amp;CoTwo[[#This Row],[Year]]&amp;CoTwo[[#This Row],[STATE_UPPER]],StateNames[SNUID],0)),CoTwo[[#This Row],[STATE_UPPER]]))</f>
        <v>Malta</v>
      </c>
      <c r="D75">
        <v>2023</v>
      </c>
      <c r="E75" t="s">
        <v>56</v>
      </c>
      <c r="F75" s="11">
        <v>409600.60784999997</v>
      </c>
      <c r="G75" s="11">
        <v>463123.47224999999</v>
      </c>
      <c r="H75" s="20" t="s">
        <v>137</v>
      </c>
      <c r="I75" s="20">
        <v>45635.481944444444</v>
      </c>
      <c r="J75">
        <f>IFERROR(MATCH(CoTwo[[#This Row],[UID]],data[UID],0),0)</f>
        <v>74</v>
      </c>
    </row>
    <row r="76" spans="1:10" x14ac:dyDescent="0.25">
      <c r="A76" t="str">
        <f>CoTwo[[#This Row],[Year]] &amp;"-"&amp;CoTwo[[#This Row],[State]]</f>
        <v>2025-Netherlands</v>
      </c>
      <c r="B76">
        <f>CoTwo[[#This Row],[CO2_Year]]+2</f>
        <v>2025</v>
      </c>
      <c r="C76" t="str">
        <f>PROPER(IFERROR(INDEX(StateNames[State],MATCH("CO2"&amp;CoTwo[[#This Row],[Year]]&amp;CoTwo[[#This Row],[STATE_UPPER]],StateNames[SNUID],0)),CoTwo[[#This Row],[STATE_UPPER]]))</f>
        <v>Netherlands</v>
      </c>
      <c r="D76">
        <v>2023</v>
      </c>
      <c r="E76" t="s">
        <v>57</v>
      </c>
      <c r="F76" s="11">
        <v>2257841.8610999999</v>
      </c>
      <c r="G76" s="11">
        <v>9590246.7583499998</v>
      </c>
      <c r="H76" s="20" t="s">
        <v>137</v>
      </c>
      <c r="I76" s="20">
        <v>45635.481944444444</v>
      </c>
      <c r="J76">
        <f>IFERROR(MATCH(CoTwo[[#This Row],[UID]],data[UID],0),0)</f>
        <v>75</v>
      </c>
    </row>
    <row r="77" spans="1:10" x14ac:dyDescent="0.25">
      <c r="A77" t="str">
        <f>CoTwo[[#This Row],[Year]] &amp;"-"&amp;CoTwo[[#This Row],[State]]</f>
        <v>2025-Norway</v>
      </c>
      <c r="B77">
        <f>CoTwo[[#This Row],[CO2_Year]]+2</f>
        <v>2025</v>
      </c>
      <c r="C77" t="str">
        <f>PROPER(IFERROR(INDEX(StateNames[State],MATCH("CO2"&amp;CoTwo[[#This Row],[Year]]&amp;CoTwo[[#This Row],[STATE_UPPER]],StateNames[SNUID],0)),CoTwo[[#This Row],[STATE_UPPER]]))</f>
        <v>Norway</v>
      </c>
      <c r="D77">
        <v>2023</v>
      </c>
      <c r="E77" t="s">
        <v>58</v>
      </c>
      <c r="F77" s="11">
        <v>1956212.0518499999</v>
      </c>
      <c r="G77" s="11">
        <v>1643693.0520500001</v>
      </c>
      <c r="H77" s="20" t="s">
        <v>137</v>
      </c>
      <c r="I77" s="20">
        <v>45635.481944444444</v>
      </c>
      <c r="J77">
        <f>IFERROR(MATCH(CoTwo[[#This Row],[UID]],data[UID],0),0)</f>
        <v>76</v>
      </c>
    </row>
    <row r="78" spans="1:10" x14ac:dyDescent="0.25">
      <c r="A78" t="str">
        <f>CoTwo[[#This Row],[Year]] &amp;"-"&amp;CoTwo[[#This Row],[State]]</f>
        <v>2025-Portugal</v>
      </c>
      <c r="B78">
        <f>CoTwo[[#This Row],[CO2_Year]]+2</f>
        <v>2025</v>
      </c>
      <c r="C78" t="str">
        <f>PROPER(IFERROR(INDEX(StateNames[State],MATCH("CO2"&amp;CoTwo[[#This Row],[Year]]&amp;CoTwo[[#This Row],[STATE_UPPER]],StateNames[SNUID],0)),CoTwo[[#This Row],[STATE_UPPER]]))</f>
        <v>Portugal</v>
      </c>
      <c r="D78">
        <v>2023</v>
      </c>
      <c r="E78" t="s">
        <v>59</v>
      </c>
      <c r="F78" s="11">
        <v>2565376.7863500002</v>
      </c>
      <c r="G78" s="11">
        <v>4867279.9790000003</v>
      </c>
      <c r="H78" s="20" t="s">
        <v>137</v>
      </c>
      <c r="I78" s="20">
        <v>45635.481944444444</v>
      </c>
      <c r="J78">
        <f>IFERROR(MATCH(CoTwo[[#This Row],[UID]],data[UID],0),0)</f>
        <v>77</v>
      </c>
    </row>
    <row r="79" spans="1:10" x14ac:dyDescent="0.25">
      <c r="A79" t="str">
        <f>CoTwo[[#This Row],[Year]] &amp;"-"&amp;CoTwo[[#This Row],[State]]</f>
        <v>2025-Romania</v>
      </c>
      <c r="B79">
        <f>CoTwo[[#This Row],[CO2_Year]]+2</f>
        <v>2025</v>
      </c>
      <c r="C79" t="str">
        <f>PROPER(IFERROR(INDEX(StateNames[State],MATCH("CO2"&amp;CoTwo[[#This Row],[Year]]&amp;CoTwo[[#This Row],[STATE_UPPER]],StateNames[SNUID],0)),CoTwo[[#This Row],[STATE_UPPER]]))</f>
        <v>Romania</v>
      </c>
      <c r="D79">
        <v>2023</v>
      </c>
      <c r="E79" t="s">
        <v>60</v>
      </c>
      <c r="F79" s="11">
        <v>1112307.3359999999</v>
      </c>
      <c r="G79" s="11">
        <v>1305804.92175</v>
      </c>
      <c r="H79" s="20" t="s">
        <v>137</v>
      </c>
      <c r="I79" s="20">
        <v>45635.481944444444</v>
      </c>
      <c r="J79">
        <f>IFERROR(MATCH(CoTwo[[#This Row],[UID]],data[UID],0),0)</f>
        <v>78</v>
      </c>
    </row>
    <row r="80" spans="1:10" x14ac:dyDescent="0.25">
      <c r="A80" t="str">
        <f>CoTwo[[#This Row],[Year]] &amp;"-"&amp;CoTwo[[#This Row],[State]]</f>
        <v>2025-Slovakia</v>
      </c>
      <c r="B80">
        <f>CoTwo[[#This Row],[CO2_Year]]+2</f>
        <v>2025</v>
      </c>
      <c r="C80" t="str">
        <f>PROPER(IFERROR(INDEX(StateNames[State],MATCH("CO2"&amp;CoTwo[[#This Row],[Year]]&amp;CoTwo[[#This Row],[STATE_UPPER]],StateNames[SNUID],0)),CoTwo[[#This Row],[STATE_UPPER]]))</f>
        <v>Slovakia</v>
      </c>
      <c r="D80">
        <v>2023</v>
      </c>
      <c r="E80" t="s">
        <v>79</v>
      </c>
      <c r="F80" s="11">
        <v>94916.486699999994</v>
      </c>
      <c r="G80" s="11">
        <v>147702.22255000001</v>
      </c>
      <c r="H80" s="20" t="s">
        <v>137</v>
      </c>
      <c r="I80" s="20">
        <v>45635.481944444444</v>
      </c>
      <c r="J80">
        <f>IFERROR(MATCH(CoTwo[[#This Row],[UID]],data[UID],0),0)</f>
        <v>79</v>
      </c>
    </row>
    <row r="81" spans="1:10" x14ac:dyDescent="0.25">
      <c r="A81" t="str">
        <f>CoTwo[[#This Row],[Year]] &amp;"-"&amp;CoTwo[[#This Row],[State]]</f>
        <v>2025-Slovenia</v>
      </c>
      <c r="B81">
        <f>CoTwo[[#This Row],[CO2_Year]]+2</f>
        <v>2025</v>
      </c>
      <c r="C81" t="str">
        <f>PROPER(IFERROR(INDEX(StateNames[State],MATCH("CO2"&amp;CoTwo[[#This Row],[Year]]&amp;CoTwo[[#This Row],[STATE_UPPER]],StateNames[SNUID],0)),CoTwo[[#This Row],[STATE_UPPER]]))</f>
        <v>Slovenia</v>
      </c>
      <c r="D81">
        <v>2023</v>
      </c>
      <c r="E81" t="s">
        <v>61</v>
      </c>
      <c r="F81" s="11">
        <v>46345.354650000001</v>
      </c>
      <c r="G81" s="11">
        <v>85350.433250000002</v>
      </c>
      <c r="H81" s="20" t="s">
        <v>137</v>
      </c>
      <c r="I81" s="20">
        <v>45635.481944444444</v>
      </c>
      <c r="J81">
        <f>IFERROR(MATCH(CoTwo[[#This Row],[UID]],data[UID],0),0)</f>
        <v>80</v>
      </c>
    </row>
    <row r="82" spans="1:10" x14ac:dyDescent="0.25">
      <c r="A82" t="str">
        <f>CoTwo[[#This Row],[Year]] &amp;"-"&amp;CoTwo[[#This Row],[State]]</f>
        <v>2025-Spain</v>
      </c>
      <c r="B82">
        <f>CoTwo[[#This Row],[CO2_Year]]+2</f>
        <v>2025</v>
      </c>
      <c r="C82" t="str">
        <f>PROPER(IFERROR(INDEX(StateNames[State],MATCH("CO2"&amp;CoTwo[[#This Row],[Year]]&amp;CoTwo[[#This Row],[STATE_UPPER]],StateNames[SNUID],0)),CoTwo[[#This Row],[STATE_UPPER]]))</f>
        <v>Spain</v>
      </c>
      <c r="D82">
        <v>2023</v>
      </c>
      <c r="E82" t="s">
        <v>62</v>
      </c>
      <c r="F82" s="11">
        <v>9096424.7629499994</v>
      </c>
      <c r="G82" s="11">
        <v>17335856.589249998</v>
      </c>
      <c r="H82" s="20" t="s">
        <v>137</v>
      </c>
      <c r="I82" s="20">
        <v>45635.481944444444</v>
      </c>
      <c r="J82">
        <f>IFERROR(MATCH(CoTwo[[#This Row],[UID]],data[UID],0),0)</f>
        <v>81</v>
      </c>
    </row>
    <row r="83" spans="1:10" x14ac:dyDescent="0.25">
      <c r="A83" t="str">
        <f>CoTwo[[#This Row],[Year]] &amp;"-"&amp;CoTwo[[#This Row],[State]]</f>
        <v>2025-Sweden</v>
      </c>
      <c r="B83">
        <f>CoTwo[[#This Row],[CO2_Year]]+2</f>
        <v>2025</v>
      </c>
      <c r="C83" t="str">
        <f>PROPER(IFERROR(INDEX(StateNames[State],MATCH("CO2"&amp;CoTwo[[#This Row],[Year]]&amp;CoTwo[[#This Row],[STATE_UPPER]],StateNames[SNUID],0)),CoTwo[[#This Row],[STATE_UPPER]]))</f>
        <v>Sweden</v>
      </c>
      <c r="D83">
        <v>2023</v>
      </c>
      <c r="E83" t="s">
        <v>63</v>
      </c>
      <c r="F83" s="11">
        <v>1511120.8476</v>
      </c>
      <c r="G83" s="11">
        <v>1938082.5807</v>
      </c>
      <c r="H83" s="20" t="s">
        <v>137</v>
      </c>
      <c r="I83" s="20">
        <v>45635.481944444444</v>
      </c>
      <c r="J83">
        <f>IFERROR(MATCH(CoTwo[[#This Row],[UID]],data[UID],0),0)</f>
        <v>82</v>
      </c>
    </row>
    <row r="84" spans="1:10" x14ac:dyDescent="0.25">
      <c r="A84" t="str">
        <f>CoTwo[[#This Row],[Year]] &amp;"-"&amp;CoTwo[[#This Row],[State]]</f>
        <v>2025-Switzerland</v>
      </c>
      <c r="B84">
        <f>CoTwo[[#This Row],[CO2_Year]]+2</f>
        <v>2025</v>
      </c>
      <c r="C84" t="str">
        <f>PROPER(IFERROR(INDEX(StateNames[State],MATCH("CO2"&amp;CoTwo[[#This Row],[Year]]&amp;CoTwo[[#This Row],[STATE_UPPER]],StateNames[SNUID],0)),CoTwo[[#This Row],[STATE_UPPER]]))</f>
        <v>Switzerland</v>
      </c>
      <c r="D84">
        <v>2023</v>
      </c>
      <c r="E84" t="s">
        <v>64</v>
      </c>
      <c r="F84" s="11">
        <v>1495900.43505</v>
      </c>
      <c r="G84" s="11">
        <v>5087815.3118000003</v>
      </c>
      <c r="H84" s="20" t="s">
        <v>137</v>
      </c>
      <c r="I84" s="20">
        <v>45635.481944444444</v>
      </c>
      <c r="J84">
        <f>IFERROR(MATCH(CoTwo[[#This Row],[UID]],data[UID],0),0)</f>
        <v>83</v>
      </c>
    </row>
    <row r="85" spans="1:10" x14ac:dyDescent="0.25">
      <c r="A85" t="str">
        <f>CoTwo[[#This Row],[Year]] &amp;"-"&amp;CoTwo[[#This Row],[State]]</f>
        <v>2025-United Kingdom</v>
      </c>
      <c r="B85">
        <f>CoTwo[[#This Row],[CO2_Year]]+2</f>
        <v>2025</v>
      </c>
      <c r="C85" t="str">
        <f>PROPER(IFERROR(INDEX(StateNames[State],MATCH("CO2"&amp;CoTwo[[#This Row],[Year]]&amp;CoTwo[[#This Row],[STATE_UPPER]],StateNames[SNUID],0)),CoTwo[[#This Row],[STATE_UPPER]]))</f>
        <v>United Kingdom</v>
      </c>
      <c r="D85">
        <v>2023</v>
      </c>
      <c r="E85" t="s">
        <v>65</v>
      </c>
      <c r="F85" s="11">
        <v>9301536.0616500005</v>
      </c>
      <c r="G85" s="11">
        <v>31741224.951200001</v>
      </c>
      <c r="H85" s="20" t="s">
        <v>137</v>
      </c>
      <c r="I85" s="20">
        <v>45635.481944444444</v>
      </c>
      <c r="J85">
        <f>IFERROR(MATCH(CoTwo[[#This Row],[UID]],data[UID],0),0)</f>
        <v>84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Cockpit</vt:lpstr>
      <vt:lpstr>Costs</vt:lpstr>
      <vt:lpstr>Data</vt:lpstr>
      <vt:lpstr>State Names</vt:lpstr>
      <vt:lpstr>GDP</vt:lpstr>
      <vt:lpstr>CO2</vt:lpstr>
    </vt:vector>
  </TitlesOfParts>
  <Company>EUROCONTROL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MANCINI</dc:creator>
  <cp:lastModifiedBy>MANCINI Stefano</cp:lastModifiedBy>
  <dcterms:created xsi:type="dcterms:W3CDTF">2022-06-11T09:17:17Z</dcterms:created>
  <dcterms:modified xsi:type="dcterms:W3CDTF">2025-01-15T23:01:19Z</dcterms:modified>
</cp:coreProperties>
</file>